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80" windowWidth="20730" windowHeight="11130"/>
  </bookViews>
  <sheets>
    <sheet name="2015 &amp; 2016 Fees" sheetId="8" r:id="rId1"/>
    <sheet name="BoS &amp; Meck pay Bowman " sheetId="12" r:id="rId2"/>
    <sheet name="2015 &amp; 2016 Revised Fees" sheetId="14" r:id="rId3"/>
    <sheet name="2015 Jan-Jul Fees (2)" sheetId="11" state="hidden" r:id="rId4"/>
    <sheet name="July 2015 - July 2016 Fees" sheetId="9" state="hidden" r:id="rId5"/>
    <sheet name="cost comparison " sheetId="10" state="hidden" r:id="rId6"/>
    <sheet name="Cost Allocation" sheetId="7" state="hidden" r:id="rId7"/>
  </sheets>
  <calcPr calcId="145621"/>
</workbook>
</file>

<file path=xl/calcChain.xml><?xml version="1.0" encoding="utf-8"?>
<calcChain xmlns="http://schemas.openxmlformats.org/spreadsheetml/2006/main">
  <c r="M14" i="14" l="1"/>
  <c r="M13" i="14"/>
  <c r="N13" i="14" s="1"/>
  <c r="M12" i="14"/>
  <c r="M11" i="14"/>
  <c r="M10" i="14"/>
  <c r="M9" i="14"/>
  <c r="N9" i="14" s="1"/>
  <c r="M8" i="14"/>
  <c r="M7" i="14"/>
  <c r="N7" i="14" s="1"/>
  <c r="M6" i="14"/>
  <c r="M5" i="14"/>
  <c r="N5" i="14" s="1"/>
  <c r="M4" i="14"/>
  <c r="N14" i="14"/>
  <c r="N12" i="14"/>
  <c r="N11" i="14"/>
  <c r="N10" i="14"/>
  <c r="N8" i="14"/>
  <c r="N6" i="14"/>
  <c r="N4" i="14"/>
  <c r="N3" i="14"/>
  <c r="M3" i="14"/>
  <c r="G4" i="14"/>
  <c r="G7" i="14"/>
  <c r="G8" i="14"/>
  <c r="G12" i="14"/>
  <c r="S15" i="14"/>
  <c r="R15" i="14"/>
  <c r="P15" i="14"/>
  <c r="Q15" i="14" s="1"/>
  <c r="O15" i="14"/>
  <c r="K15" i="14"/>
  <c r="J15" i="14"/>
  <c r="J10" i="14" s="1"/>
  <c r="D15" i="14"/>
  <c r="E14" i="14" s="1"/>
  <c r="G14" i="14" s="1"/>
  <c r="C15" i="14"/>
  <c r="F14" i="14"/>
  <c r="Q13" i="14"/>
  <c r="F13" i="14"/>
  <c r="E13" i="14"/>
  <c r="O13" i="14" s="1"/>
  <c r="Q12" i="14"/>
  <c r="F12" i="14"/>
  <c r="E12" i="14"/>
  <c r="L12" i="14" s="1"/>
  <c r="Q11" i="14"/>
  <c r="F11" i="14"/>
  <c r="E11" i="14"/>
  <c r="L11" i="14" s="1"/>
  <c r="Q10" i="14"/>
  <c r="F10" i="14"/>
  <c r="E10" i="14"/>
  <c r="I10" i="14" s="1"/>
  <c r="Q9" i="14"/>
  <c r="F9" i="14"/>
  <c r="E9" i="14"/>
  <c r="O9" i="14" s="1"/>
  <c r="Q8" i="14"/>
  <c r="R8" i="14" s="1"/>
  <c r="F8" i="14"/>
  <c r="E8" i="14"/>
  <c r="L8" i="14" s="1"/>
  <c r="Q7" i="14"/>
  <c r="F7" i="14"/>
  <c r="E7" i="14"/>
  <c r="I7" i="14" s="1"/>
  <c r="Q6" i="14"/>
  <c r="L6" i="14"/>
  <c r="F6" i="14"/>
  <c r="E6" i="14"/>
  <c r="I6" i="14" s="1"/>
  <c r="Q5" i="14"/>
  <c r="L5" i="14"/>
  <c r="F5" i="14"/>
  <c r="E5" i="14"/>
  <c r="O5" i="14" s="1"/>
  <c r="Q4" i="14"/>
  <c r="R4" i="14" s="1"/>
  <c r="F4" i="14"/>
  <c r="E4" i="14"/>
  <c r="L4" i="14" s="1"/>
  <c r="Q3" i="14"/>
  <c r="F3" i="14"/>
  <c r="F15" i="14" s="1"/>
  <c r="E3" i="14"/>
  <c r="L3" i="14" s="1"/>
  <c r="H8" i="12"/>
  <c r="H6" i="12"/>
  <c r="K15" i="12"/>
  <c r="R3" i="14" l="1"/>
  <c r="R5" i="14"/>
  <c r="R6" i="14"/>
  <c r="G10" i="14"/>
  <c r="H10" i="14" s="1"/>
  <c r="G6" i="14"/>
  <c r="R12" i="14"/>
  <c r="G11" i="14"/>
  <c r="G3" i="14"/>
  <c r="L9" i="14"/>
  <c r="R10" i="14"/>
  <c r="G13" i="14"/>
  <c r="G9" i="14"/>
  <c r="G5" i="14"/>
  <c r="L10" i="14"/>
  <c r="L13" i="14"/>
  <c r="J6" i="14"/>
  <c r="H6" i="14" s="1"/>
  <c r="O10" i="14"/>
  <c r="R11" i="14"/>
  <c r="R13" i="14"/>
  <c r="T6" i="14"/>
  <c r="O6" i="14"/>
  <c r="R7" i="14"/>
  <c r="R9" i="14"/>
  <c r="Q14" i="14"/>
  <c r="R14" i="14" s="1"/>
  <c r="I14" i="14"/>
  <c r="O14" i="14"/>
  <c r="J14" i="14"/>
  <c r="L14" i="14"/>
  <c r="J3" i="14"/>
  <c r="I4" i="14"/>
  <c r="J7" i="14"/>
  <c r="O7" i="14"/>
  <c r="I8" i="14"/>
  <c r="J11" i="14"/>
  <c r="O11" i="14"/>
  <c r="I12" i="14"/>
  <c r="I3" i="14"/>
  <c r="I11" i="14"/>
  <c r="J4" i="14"/>
  <c r="L7" i="14"/>
  <c r="J8" i="14"/>
  <c r="O8" i="14"/>
  <c r="I9" i="14"/>
  <c r="J12" i="14"/>
  <c r="O12" i="14"/>
  <c r="I13" i="14"/>
  <c r="E15" i="14"/>
  <c r="O3" i="14"/>
  <c r="O4" i="14"/>
  <c r="I5" i="14"/>
  <c r="J5" i="14"/>
  <c r="H5" i="14" s="1"/>
  <c r="J9" i="14"/>
  <c r="J13" i="14"/>
  <c r="H13" i="14" s="1"/>
  <c r="H9" i="14" l="1"/>
  <c r="T10" i="14"/>
  <c r="T13" i="14"/>
  <c r="H8" i="14"/>
  <c r="T8" i="14"/>
  <c r="H7" i="14"/>
  <c r="T7" i="14"/>
  <c r="T5" i="14"/>
  <c r="T14" i="14"/>
  <c r="H14" i="14"/>
  <c r="T9" i="14"/>
  <c r="H3" i="14"/>
  <c r="H12" i="14"/>
  <c r="T12" i="14"/>
  <c r="H4" i="14"/>
  <c r="T4" i="14"/>
  <c r="H11" i="14"/>
  <c r="T11" i="14"/>
  <c r="H15" i="14" l="1"/>
  <c r="M15" i="14"/>
  <c r="N15" i="14"/>
  <c r="T3" i="14"/>
  <c r="T15" i="14" s="1"/>
  <c r="S15" i="12" l="1"/>
  <c r="R15" i="12"/>
  <c r="P15" i="12"/>
  <c r="Q15" i="12" s="1"/>
  <c r="O15" i="12"/>
  <c r="J15" i="12"/>
  <c r="D15" i="12"/>
  <c r="E14" i="12" s="1"/>
  <c r="C15" i="12"/>
  <c r="F14" i="12"/>
  <c r="F13" i="12"/>
  <c r="F12" i="12"/>
  <c r="F11" i="12"/>
  <c r="F10" i="12"/>
  <c r="F9" i="12"/>
  <c r="F8" i="12"/>
  <c r="F7" i="12"/>
  <c r="F6" i="12"/>
  <c r="F5" i="12"/>
  <c r="F4" i="12"/>
  <c r="F3" i="12"/>
  <c r="F15" i="12" s="1"/>
  <c r="K3" i="8"/>
  <c r="R14" i="8"/>
  <c r="R13" i="8"/>
  <c r="R12" i="8"/>
  <c r="R11" i="8"/>
  <c r="R10" i="8"/>
  <c r="R9" i="8"/>
  <c r="R8" i="8"/>
  <c r="R7" i="8"/>
  <c r="R6" i="8"/>
  <c r="R5" i="8"/>
  <c r="R4" i="8"/>
  <c r="L15" i="8"/>
  <c r="L14" i="8"/>
  <c r="L13" i="8"/>
  <c r="L12" i="8"/>
  <c r="L11" i="8"/>
  <c r="L10" i="8"/>
  <c r="L9" i="8"/>
  <c r="L8" i="8"/>
  <c r="L7" i="8"/>
  <c r="L6" i="8"/>
  <c r="L5" i="8"/>
  <c r="L4" i="8"/>
  <c r="L3" i="8"/>
  <c r="R3" i="8" s="1"/>
  <c r="R15" i="8" s="1"/>
  <c r="Q3" i="12" l="1"/>
  <c r="R3" i="12" s="1"/>
  <c r="E4" i="12"/>
  <c r="O4" i="12" s="1"/>
  <c r="E9" i="12"/>
  <c r="J9" i="12" s="1"/>
  <c r="E3" i="12"/>
  <c r="O3" i="12" s="1"/>
  <c r="E5" i="12"/>
  <c r="E8" i="12"/>
  <c r="I8" i="12" s="1"/>
  <c r="Q11" i="12"/>
  <c r="R11" i="12" s="1"/>
  <c r="Q7" i="12"/>
  <c r="R7" i="12" s="1"/>
  <c r="E12" i="12"/>
  <c r="I12" i="12" s="1"/>
  <c r="Q6" i="12"/>
  <c r="R6" i="12" s="1"/>
  <c r="Q5" i="12"/>
  <c r="R5" i="12" s="1"/>
  <c r="E7" i="12"/>
  <c r="I7" i="12" s="1"/>
  <c r="Q9" i="12"/>
  <c r="R9" i="12" s="1"/>
  <c r="E11" i="12"/>
  <c r="L11" i="12" s="1"/>
  <c r="Q10" i="12"/>
  <c r="R10" i="12" s="1"/>
  <c r="Q13" i="12"/>
  <c r="R13" i="12" s="1"/>
  <c r="Q4" i="12"/>
  <c r="R4" i="12" s="1"/>
  <c r="E6" i="12"/>
  <c r="I6" i="12" s="1"/>
  <c r="Q8" i="12"/>
  <c r="R8" i="12" s="1"/>
  <c r="E10" i="12"/>
  <c r="I10" i="12" s="1"/>
  <c r="Q12" i="12"/>
  <c r="R12" i="12" s="1"/>
  <c r="E13" i="12"/>
  <c r="G14" i="12"/>
  <c r="J3" i="12"/>
  <c r="I14" i="12"/>
  <c r="J14" i="12"/>
  <c r="L14" i="12"/>
  <c r="Q14" i="12"/>
  <c r="R14" i="12" s="1"/>
  <c r="O14" i="12"/>
  <c r="I3" i="12"/>
  <c r="K15" i="8"/>
  <c r="K14" i="8"/>
  <c r="K13" i="8"/>
  <c r="K12" i="8"/>
  <c r="K11" i="8"/>
  <c r="K10" i="8"/>
  <c r="K9" i="8"/>
  <c r="K8" i="8"/>
  <c r="K7" i="8"/>
  <c r="K6" i="8"/>
  <c r="K5" i="8"/>
  <c r="K4" i="8"/>
  <c r="G7" i="12" l="1"/>
  <c r="O10" i="12"/>
  <c r="O7" i="12"/>
  <c r="L3" i="12"/>
  <c r="M3" i="12" s="1"/>
  <c r="N3" i="12" s="1"/>
  <c r="T3" i="12" s="1"/>
  <c r="G3" i="12"/>
  <c r="J12" i="12"/>
  <c r="L12" i="12"/>
  <c r="M12" i="12" s="1"/>
  <c r="O12" i="12"/>
  <c r="L8" i="12"/>
  <c r="L9" i="12"/>
  <c r="M9" i="12" s="1"/>
  <c r="L4" i="12"/>
  <c r="G12" i="12"/>
  <c r="H12" i="12" s="1"/>
  <c r="J4" i="12"/>
  <c r="J6" i="12"/>
  <c r="G8" i="12"/>
  <c r="J8" i="12"/>
  <c r="G9" i="12"/>
  <c r="H9" i="12" s="1"/>
  <c r="I4" i="12"/>
  <c r="O9" i="12"/>
  <c r="I9" i="12"/>
  <c r="G4" i="12"/>
  <c r="H4" i="12" s="1"/>
  <c r="O8" i="12"/>
  <c r="L7" i="12"/>
  <c r="J7" i="12"/>
  <c r="H7" i="12" s="1"/>
  <c r="L10" i="12"/>
  <c r="G10" i="12"/>
  <c r="G6" i="12"/>
  <c r="J10" i="12"/>
  <c r="O5" i="12"/>
  <c r="L5" i="12"/>
  <c r="I5" i="12"/>
  <c r="O13" i="12"/>
  <c r="G5" i="12"/>
  <c r="J5" i="12"/>
  <c r="M5" i="12" s="1"/>
  <c r="O6" i="12"/>
  <c r="I11" i="12"/>
  <c r="J13" i="12"/>
  <c r="M14" i="12"/>
  <c r="N14" i="12" s="1"/>
  <c r="T14" i="12" s="1"/>
  <c r="O11" i="12"/>
  <c r="L6" i="12"/>
  <c r="E15" i="12"/>
  <c r="J11" i="12"/>
  <c r="M11" i="12" s="1"/>
  <c r="G11" i="12"/>
  <c r="G13" i="12"/>
  <c r="H3" i="12"/>
  <c r="L13" i="12"/>
  <c r="I13" i="12"/>
  <c r="H14" i="12"/>
  <c r="H14" i="8"/>
  <c r="H13" i="8"/>
  <c r="H12" i="8"/>
  <c r="H11" i="8"/>
  <c r="H10" i="8"/>
  <c r="H9" i="8"/>
  <c r="H8" i="8"/>
  <c r="H7" i="8"/>
  <c r="H6" i="8"/>
  <c r="H5" i="8"/>
  <c r="H4" i="8"/>
  <c r="H3" i="8"/>
  <c r="P14" i="8"/>
  <c r="P13" i="8"/>
  <c r="P12" i="8"/>
  <c r="P11" i="8"/>
  <c r="P10" i="8"/>
  <c r="P9" i="8"/>
  <c r="P8" i="8"/>
  <c r="P7" i="8"/>
  <c r="P6" i="8"/>
  <c r="P5" i="8"/>
  <c r="P4" i="8"/>
  <c r="P3" i="8"/>
  <c r="P15" i="8"/>
  <c r="O15" i="8"/>
  <c r="O14" i="8"/>
  <c r="O13" i="8"/>
  <c r="O12" i="8"/>
  <c r="O11" i="8"/>
  <c r="O10" i="8"/>
  <c r="O9" i="8"/>
  <c r="O8" i="8"/>
  <c r="O7" i="8"/>
  <c r="O6" i="8"/>
  <c r="O5" i="8"/>
  <c r="O4" i="8"/>
  <c r="O3" i="8"/>
  <c r="N5" i="9"/>
  <c r="N13" i="9"/>
  <c r="N10" i="9"/>
  <c r="N6" i="9"/>
  <c r="N12" i="12" l="1"/>
  <c r="T12" i="12" s="1"/>
  <c r="N9" i="12"/>
  <c r="T9" i="12" s="1"/>
  <c r="M7" i="12"/>
  <c r="N7" i="12" s="1"/>
  <c r="T7" i="12" s="1"/>
  <c r="M8" i="12"/>
  <c r="N8" i="12" s="1"/>
  <c r="T8" i="12" s="1"/>
  <c r="M4" i="12"/>
  <c r="N4" i="12" s="1"/>
  <c r="T4" i="12" s="1"/>
  <c r="L16" i="12"/>
  <c r="H5" i="12"/>
  <c r="M6" i="12"/>
  <c r="N6" i="12" s="1"/>
  <c r="T6" i="12" s="1"/>
  <c r="M10" i="12"/>
  <c r="N10" i="12" s="1"/>
  <c r="T10" i="12" s="1"/>
  <c r="N11" i="12"/>
  <c r="T11" i="12" s="1"/>
  <c r="M13" i="12"/>
  <c r="N13" i="12" s="1"/>
  <c r="T13" i="12" s="1"/>
  <c r="H10" i="12"/>
  <c r="H13" i="12"/>
  <c r="H11" i="12"/>
  <c r="N5" i="12"/>
  <c r="T5" i="12" s="1"/>
  <c r="I14" i="8"/>
  <c r="I13" i="8"/>
  <c r="I12" i="8"/>
  <c r="I11" i="8"/>
  <c r="I10" i="8"/>
  <c r="I9" i="8"/>
  <c r="I8" i="8"/>
  <c r="I7" i="8"/>
  <c r="I6" i="8"/>
  <c r="I5" i="8"/>
  <c r="I4" i="8"/>
  <c r="I3" i="8"/>
  <c r="J14" i="8"/>
  <c r="J13" i="8"/>
  <c r="J12" i="8"/>
  <c r="J11" i="8"/>
  <c r="J10" i="8"/>
  <c r="J9" i="8"/>
  <c r="J8" i="8"/>
  <c r="J7" i="8"/>
  <c r="J6" i="8"/>
  <c r="J5" i="8"/>
  <c r="J3" i="8"/>
  <c r="J4" i="8"/>
  <c r="I15" i="8"/>
  <c r="M15" i="8"/>
  <c r="J15" i="11"/>
  <c r="K15" i="11" s="1"/>
  <c r="I15" i="11"/>
  <c r="H15" i="11"/>
  <c r="F15" i="11"/>
  <c r="D15" i="11"/>
  <c r="C15" i="11"/>
  <c r="H14" i="11"/>
  <c r="F14" i="11"/>
  <c r="E14" i="11"/>
  <c r="G14" i="11" s="1"/>
  <c r="K14" i="11" s="1"/>
  <c r="F13" i="11"/>
  <c r="E13" i="11"/>
  <c r="H13" i="11" s="1"/>
  <c r="H12" i="11"/>
  <c r="G12" i="11"/>
  <c r="K12" i="11" s="1"/>
  <c r="F12" i="11"/>
  <c r="E12" i="11"/>
  <c r="H11" i="11"/>
  <c r="G11" i="11"/>
  <c r="K11" i="11" s="1"/>
  <c r="F11" i="11"/>
  <c r="E11" i="11"/>
  <c r="H10" i="11"/>
  <c r="F10" i="11"/>
  <c r="E10" i="11"/>
  <c r="G10" i="11" s="1"/>
  <c r="K10" i="11" s="1"/>
  <c r="F9" i="11"/>
  <c r="E9" i="11"/>
  <c r="H9" i="11" s="1"/>
  <c r="H8" i="11"/>
  <c r="G8" i="11"/>
  <c r="K8" i="11" s="1"/>
  <c r="F8" i="11"/>
  <c r="E8" i="11"/>
  <c r="H7" i="11"/>
  <c r="G7" i="11"/>
  <c r="K7" i="11" s="1"/>
  <c r="F7" i="11"/>
  <c r="E7" i="11"/>
  <c r="H6" i="11"/>
  <c r="F6" i="11"/>
  <c r="E6" i="11"/>
  <c r="G6" i="11" s="1"/>
  <c r="K6" i="11" s="1"/>
  <c r="F5" i="11"/>
  <c r="E5" i="11"/>
  <c r="H5" i="11" s="1"/>
  <c r="H4" i="11"/>
  <c r="G4" i="11"/>
  <c r="K4" i="11" s="1"/>
  <c r="F4" i="11"/>
  <c r="E4" i="11"/>
  <c r="H3" i="11"/>
  <c r="G3" i="11"/>
  <c r="K3" i="11" s="1"/>
  <c r="F3" i="11"/>
  <c r="E3" i="11"/>
  <c r="H15" i="12" l="1"/>
  <c r="M15" i="12"/>
  <c r="T15" i="12"/>
  <c r="N15" i="12"/>
  <c r="E15" i="11"/>
  <c r="G5" i="11"/>
  <c r="K5" i="11" s="1"/>
  <c r="G9" i="11"/>
  <c r="K9" i="11" s="1"/>
  <c r="G13" i="11"/>
  <c r="K13" i="11" s="1"/>
  <c r="L15" i="10"/>
  <c r="M15" i="10"/>
  <c r="N15" i="10"/>
  <c r="O15" i="10"/>
  <c r="D15" i="10"/>
  <c r="E3" i="10"/>
  <c r="G3" i="10"/>
  <c r="H3" i="10"/>
  <c r="J3" i="10"/>
  <c r="E4" i="10"/>
  <c r="G4" i="10"/>
  <c r="H4" i="10"/>
  <c r="J4" i="10"/>
  <c r="E5" i="10"/>
  <c r="G5" i="10"/>
  <c r="H5" i="10"/>
  <c r="J5" i="10"/>
  <c r="E6" i="10"/>
  <c r="G6" i="10"/>
  <c r="H6" i="10"/>
  <c r="J6" i="10"/>
  <c r="E7" i="10"/>
  <c r="G7" i="10"/>
  <c r="H7" i="10"/>
  <c r="J7" i="10"/>
  <c r="E8" i="10"/>
  <c r="G8" i="10"/>
  <c r="H8" i="10"/>
  <c r="J8" i="10"/>
  <c r="E9" i="10"/>
  <c r="G9" i="10"/>
  <c r="H9" i="10"/>
  <c r="J9" i="10"/>
  <c r="E10" i="10"/>
  <c r="G10" i="10"/>
  <c r="H10" i="10"/>
  <c r="J10" i="10"/>
  <c r="E11" i="10"/>
  <c r="G11" i="10"/>
  <c r="H11" i="10"/>
  <c r="J11" i="10"/>
  <c r="E12" i="10"/>
  <c r="G12" i="10"/>
  <c r="H12" i="10"/>
  <c r="J12" i="10"/>
  <c r="E13" i="10"/>
  <c r="G13" i="10"/>
  <c r="H13" i="10"/>
  <c r="J13" i="10"/>
  <c r="E14" i="10"/>
  <c r="G14" i="10"/>
  <c r="H14" i="10"/>
  <c r="J14" i="10"/>
  <c r="J15" i="10"/>
  <c r="I15" i="10"/>
  <c r="H15" i="10"/>
  <c r="G15" i="10"/>
  <c r="F3" i="10"/>
  <c r="F4" i="10"/>
  <c r="F5" i="10"/>
  <c r="F6" i="10"/>
  <c r="F7" i="10"/>
  <c r="F8" i="10"/>
  <c r="F9" i="10"/>
  <c r="F10" i="10"/>
  <c r="F11" i="10"/>
  <c r="F12" i="10"/>
  <c r="F13" i="10"/>
  <c r="F14" i="10"/>
  <c r="F15" i="10"/>
  <c r="E15" i="10"/>
  <c r="C15" i="10"/>
  <c r="K14" i="10"/>
  <c r="L14" i="10"/>
  <c r="O14" i="10"/>
  <c r="K13" i="10"/>
  <c r="L13" i="10"/>
  <c r="O13" i="10"/>
  <c r="K12" i="10"/>
  <c r="L12" i="10"/>
  <c r="O12" i="10"/>
  <c r="K11" i="10"/>
  <c r="L11" i="10"/>
  <c r="O11" i="10"/>
  <c r="K10" i="10"/>
  <c r="L10" i="10"/>
  <c r="O10" i="10"/>
  <c r="K9" i="10"/>
  <c r="L9" i="10"/>
  <c r="O9" i="10"/>
  <c r="K8" i="10"/>
  <c r="L8" i="10"/>
  <c r="O8" i="10"/>
  <c r="K7" i="10"/>
  <c r="L7" i="10"/>
  <c r="O7" i="10"/>
  <c r="K6" i="10"/>
  <c r="L6" i="10"/>
  <c r="O6" i="10"/>
  <c r="K5" i="10"/>
  <c r="L5" i="10"/>
  <c r="O5" i="10"/>
  <c r="K4" i="10"/>
  <c r="L4" i="10"/>
  <c r="O4" i="10"/>
  <c r="K3" i="10"/>
  <c r="L3" i="10"/>
  <c r="O3" i="10"/>
  <c r="K15" i="9"/>
  <c r="D15" i="9"/>
  <c r="E3" i="9"/>
  <c r="I3" i="9"/>
  <c r="J3" i="9"/>
  <c r="M3" i="9"/>
  <c r="E4" i="9"/>
  <c r="I4" i="9"/>
  <c r="J4" i="9"/>
  <c r="M4" i="9"/>
  <c r="E5" i="9"/>
  <c r="I5" i="9"/>
  <c r="J5" i="9"/>
  <c r="M5" i="9"/>
  <c r="E6" i="9"/>
  <c r="I6" i="9"/>
  <c r="J6" i="9"/>
  <c r="M6" i="9"/>
  <c r="E7" i="9"/>
  <c r="I7" i="9"/>
  <c r="J7" i="9"/>
  <c r="M7" i="9"/>
  <c r="E8" i="9"/>
  <c r="I8" i="9"/>
  <c r="J8" i="9"/>
  <c r="M8" i="9"/>
  <c r="E9" i="9"/>
  <c r="I9" i="9"/>
  <c r="J9" i="9"/>
  <c r="M9" i="9"/>
  <c r="E10" i="9"/>
  <c r="I10" i="9"/>
  <c r="J10" i="9"/>
  <c r="M10" i="9"/>
  <c r="E11" i="9"/>
  <c r="I11" i="9"/>
  <c r="J11" i="9"/>
  <c r="M11" i="9"/>
  <c r="E12" i="9"/>
  <c r="I12" i="9"/>
  <c r="J12" i="9"/>
  <c r="M12" i="9"/>
  <c r="E13" i="9"/>
  <c r="I13" i="9"/>
  <c r="J13" i="9"/>
  <c r="M13" i="9"/>
  <c r="E14" i="9"/>
  <c r="I14" i="9"/>
  <c r="J14" i="9"/>
  <c r="M14" i="9"/>
  <c r="M15" i="9"/>
  <c r="I15" i="9"/>
  <c r="J15" i="9"/>
  <c r="G14" i="9"/>
  <c r="G13" i="9"/>
  <c r="G12" i="9"/>
  <c r="G11" i="9"/>
  <c r="G10" i="9"/>
  <c r="G9" i="9"/>
  <c r="G8" i="9"/>
  <c r="G7" i="9"/>
  <c r="G6" i="9"/>
  <c r="G5" i="9"/>
  <c r="G4" i="9"/>
  <c r="G3" i="9"/>
  <c r="G15" i="9"/>
  <c r="E15" i="9"/>
  <c r="C15" i="9"/>
  <c r="N15" i="8"/>
  <c r="Q15" i="8"/>
  <c r="D15" i="8"/>
  <c r="E12" i="8" s="1"/>
  <c r="C15" i="8"/>
  <c r="F14" i="8"/>
  <c r="F13" i="8"/>
  <c r="F12" i="8"/>
  <c r="F11" i="8"/>
  <c r="F10" i="8"/>
  <c r="F9" i="8"/>
  <c r="F8" i="8"/>
  <c r="F7" i="8"/>
  <c r="F6" i="8"/>
  <c r="F5" i="8"/>
  <c r="F4" i="8"/>
  <c r="D16" i="7"/>
  <c r="E13" i="7"/>
  <c r="E6" i="7"/>
  <c r="E10" i="7"/>
  <c r="E14" i="7"/>
  <c r="E3" i="8"/>
  <c r="M3" i="8" s="1"/>
  <c r="E6" i="8"/>
  <c r="G6" i="8" s="1"/>
  <c r="E9" i="8"/>
  <c r="M9" i="8" s="1"/>
  <c r="E13" i="8"/>
  <c r="G13" i="8" s="1"/>
  <c r="F3" i="8"/>
  <c r="F15" i="8" s="1"/>
  <c r="E7" i="7"/>
  <c r="E11" i="7"/>
  <c r="E15" i="7"/>
  <c r="E4" i="7"/>
  <c r="E8" i="7"/>
  <c r="E12" i="7"/>
  <c r="E5" i="7"/>
  <c r="E9" i="7"/>
  <c r="F16" i="7"/>
  <c r="G14" i="7"/>
  <c r="C16" i="7"/>
  <c r="G10" i="7"/>
  <c r="G6" i="7"/>
  <c r="G11" i="7"/>
  <c r="G7" i="7"/>
  <c r="G4" i="7"/>
  <c r="G5" i="7"/>
  <c r="G8" i="7"/>
  <c r="G9" i="7"/>
  <c r="G15" i="7"/>
  <c r="G12" i="7"/>
  <c r="G13" i="7"/>
  <c r="E16" i="7"/>
  <c r="G16" i="7"/>
  <c r="E5" i="8" l="1"/>
  <c r="G5" i="8" s="1"/>
  <c r="E7" i="8"/>
  <c r="G3" i="8"/>
  <c r="M13" i="8"/>
  <c r="E8" i="8"/>
  <c r="M8" i="8" s="1"/>
  <c r="E10" i="8"/>
  <c r="M10" i="8" s="1"/>
  <c r="G12" i="8"/>
  <c r="M12" i="8"/>
  <c r="M6" i="8"/>
  <c r="M5" i="8"/>
  <c r="E4" i="8"/>
  <c r="E14" i="8"/>
  <c r="E11" i="8"/>
  <c r="G9" i="8"/>
  <c r="G10" i="8"/>
  <c r="M7" i="8" l="1"/>
  <c r="G7" i="8"/>
  <c r="G8" i="8"/>
  <c r="E15" i="8"/>
  <c r="M4" i="8"/>
  <c r="G4" i="8"/>
  <c r="G11" i="8"/>
  <c r="M11" i="8"/>
  <c r="M14" i="8"/>
  <c r="G14" i="8"/>
</calcChain>
</file>

<file path=xl/sharedStrings.xml><?xml version="1.0" encoding="utf-8"?>
<sst xmlns="http://schemas.openxmlformats.org/spreadsheetml/2006/main" count="248" uniqueCount="55">
  <si>
    <t>CoC</t>
  </si>
  <si>
    <t>Overall</t>
  </si>
  <si>
    <t>Durham</t>
  </si>
  <si>
    <t>BoS</t>
  </si>
  <si>
    <t>Guilford</t>
  </si>
  <si>
    <t>Meck</t>
  </si>
  <si>
    <t>Wake</t>
  </si>
  <si>
    <t>G-L-C</t>
  </si>
  <si>
    <t>Cumberland</t>
  </si>
  <si>
    <t>Buncombe</t>
  </si>
  <si>
    <t>Forsyth</t>
  </si>
  <si>
    <t>Orange</t>
  </si>
  <si>
    <t>Northwest</t>
  </si>
  <si>
    <t>Current Cost</t>
  </si>
  <si>
    <t>Tri-HIC</t>
  </si>
  <si>
    <t>estimated cost</t>
  </si>
  <si>
    <t># beds</t>
  </si>
  <si>
    <t>percent of total</t>
  </si>
  <si>
    <t>2014 HIC</t>
  </si>
  <si>
    <t>January -June 2015</t>
  </si>
  <si>
    <t xml:space="preserve">MCAH Fee </t>
  </si>
  <si>
    <t>CHIN Fee</t>
  </si>
  <si>
    <t>Jan-Apr 2015</t>
  </si>
  <si>
    <t>Bowman Fee</t>
  </si>
  <si>
    <t>May &amp; June 2015</t>
  </si>
  <si>
    <t>Local System Admin Costs</t>
  </si>
  <si>
    <t>Jan-Jun 2015</t>
  </si>
  <si>
    <t>TOTAL HMIS COST</t>
  </si>
  <si>
    <t>TBD by CoC</t>
  </si>
  <si>
    <t xml:space="preserve">2013 HIC </t>
  </si>
  <si>
    <t xml:space="preserve">This chart shows the 2014 and 2013 HIC beds per CoC. The GC decided at the Nov 2014 mtg to use the HIC to determine each CoC's percentage of the shared costs (MCAH and Bowman) moving forward. At the time, the 2014 HICs were not available. 2014 HIC numbers will be used to distribute 2015 costs. </t>
  </si>
  <si>
    <t xml:space="preserve">*Bowman Fees are an estimate only. This amount will change based on negotiations and may change if each CoC is charged based on licenses used rather than % of total bill. This includes one-time fees and two months of ongoing costs. Estimate = $100,000 in annual one time cost, + 2 months of $35,000/yr ongoing. Year would be May-Apr. </t>
  </si>
  <si>
    <t>Total MCAH Budget</t>
  </si>
  <si>
    <t>MCAH Costs</t>
  </si>
  <si>
    <t>Bowman Costs</t>
  </si>
  <si>
    <t>% of total</t>
  </si>
  <si>
    <t>July 15-June 16</t>
  </si>
  <si>
    <t xml:space="preserve">TBD by CoC. CoCs can add their local cost here and a total cost will be autocalculated. </t>
  </si>
  <si>
    <t xml:space="preserve">TBD by CoC. CoCs can add their local cost here and a total cost will be autocalculated in column J. </t>
  </si>
  <si>
    <t xml:space="preserve">9070 = server; 86,837.33 = annual cost;                            -6215.83 credit </t>
  </si>
  <si>
    <t>Monthly Recurring Amt (per month cost)</t>
  </si>
  <si>
    <t>Total Bowman Cost (One time + 14 monthly)</t>
  </si>
  <si>
    <t>estimated CHIN Credit</t>
  </si>
  <si>
    <t>July 2015 - Jun 2016</t>
  </si>
  <si>
    <t>Total MCAH + Bowman</t>
  </si>
  <si>
    <t>Jan 2015 - Jun 2016 (18 months)</t>
  </si>
  <si>
    <t>One time costs             (due in May 2015)</t>
  </si>
  <si>
    <t>Bowman fee has been backed out. Total MCAH budget was approved at $481,220</t>
  </si>
  <si>
    <t>MCAH               January -June 2015</t>
  </si>
  <si>
    <t>Bowman                One time costs             (due in May 2015)</t>
  </si>
  <si>
    <t>January -June 2015 (6 months)</t>
  </si>
  <si>
    <t>July 2015 - Jun 2016 (12 months)</t>
  </si>
  <si>
    <t>Total Bowman Cost (One time in May +            14 months)</t>
  </si>
  <si>
    <t>Jan-Apr 2015                     (4 months)</t>
  </si>
  <si>
    <t>revised             January -June 2015 (6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</si>
</sst>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_(&quot;$&quot;* #,##0.0_);_(&quot;$&quot;* \(#,##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11"/>
      <color indexed="8"/>
      <name val="Calibri"/>
      <family val="2"/>
    </font>
    <font>
      <sz val="11"/>
      <name val="Calibri"/>
      <family val="2"/>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11"/>
      <color theme="0" tint="-4.9989318521683403E-2"/>
      <name val="Calibri"/>
      <family val="2"/>
      <scheme val="minor"/>
    </font>
    <font>
      <b/>
      <sz val="10"/>
      <color theme="0" tint="-4.9989318521683403E-2"/>
      <name val="Calibri"/>
      <family val="2"/>
      <scheme val="minor"/>
    </font>
    <font>
      <sz val="11"/>
      <color theme="0" tint="-4.9989318521683403E-2"/>
      <name val="Calibri"/>
      <family val="2"/>
      <scheme val="minor"/>
    </font>
    <font>
      <sz val="10"/>
      <name val="Calibri"/>
      <family val="2"/>
    </font>
    <font>
      <strike/>
      <sz val="10"/>
      <color theme="1"/>
      <name val="Calibri"/>
      <family val="2"/>
      <scheme val="minor"/>
    </font>
    <font>
      <b/>
      <sz val="10"/>
      <color indexed="8"/>
      <name val="Calibri"/>
      <family val="2"/>
    </font>
    <font>
      <b/>
      <strike/>
      <sz val="10"/>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28">
    <xf numFmtId="0" fontId="0" fillId="0" borderId="0" xfId="0"/>
    <xf numFmtId="164" fontId="0" fillId="0" borderId="1" xfId="0" applyNumberFormat="1" applyFill="1" applyBorder="1" applyAlignment="1">
      <alignment horizontal="right"/>
    </xf>
    <xf numFmtId="166" fontId="5" fillId="0" borderId="1" xfId="2" applyNumberFormat="1" applyFont="1" applyFill="1" applyBorder="1" applyAlignment="1">
      <alignment horizontal="right" vertical="center"/>
    </xf>
    <xf numFmtId="0" fontId="0" fillId="0" borderId="0" xfId="0"/>
    <xf numFmtId="164" fontId="0" fillId="0" borderId="3" xfId="0" applyNumberFormat="1" applyFill="1" applyBorder="1" applyAlignment="1">
      <alignment horizontal="right"/>
    </xf>
    <xf numFmtId="166" fontId="5" fillId="0" borderId="3" xfId="2" applyNumberFormat="1" applyFont="1" applyFill="1" applyBorder="1" applyAlignment="1">
      <alignment horizontal="right" vertical="center"/>
    </xf>
    <xf numFmtId="0" fontId="4" fillId="2" borderId="1" xfId="0" applyFont="1" applyFill="1" applyBorder="1" applyAlignment="1">
      <alignment horizontal="center" vertical="center"/>
    </xf>
    <xf numFmtId="164" fontId="4" fillId="2" borderId="1" xfId="0" applyNumberFormat="1" applyFont="1" applyFill="1" applyBorder="1" applyAlignment="1">
      <alignment horizontal="right"/>
    </xf>
    <xf numFmtId="165" fontId="4" fillId="2" borderId="1" xfId="1" applyNumberFormat="1" applyFont="1" applyFill="1" applyBorder="1" applyAlignment="1">
      <alignment horizontal="right"/>
    </xf>
    <xf numFmtId="9" fontId="4" fillId="2" borderId="1" xfId="3" applyFont="1" applyFill="1" applyBorder="1" applyAlignment="1">
      <alignment horizontal="right"/>
    </xf>
    <xf numFmtId="166" fontId="4" fillId="2" borderId="1" xfId="1" applyNumberFormat="1" applyFont="1" applyFill="1" applyBorder="1" applyAlignment="1">
      <alignment horizontal="right"/>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2"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166" fontId="2" fillId="2" borderId="1" xfId="0" applyNumberFormat="1" applyFont="1" applyFill="1" applyBorder="1"/>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xf>
    <xf numFmtId="0" fontId="0" fillId="0" borderId="9" xfId="0" applyBorder="1"/>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10" fontId="5" fillId="3" borderId="3" xfId="3" applyNumberFormat="1" applyFont="1" applyFill="1" applyBorder="1" applyAlignment="1">
      <alignment horizontal="right" vertical="center"/>
    </xf>
    <xf numFmtId="10" fontId="5" fillId="3" borderId="1" xfId="3" applyNumberFormat="1" applyFont="1" applyFill="1" applyBorder="1" applyAlignment="1">
      <alignment horizontal="right" vertical="center"/>
    </xf>
    <xf numFmtId="37" fontId="0" fillId="3" borderId="3" xfId="0" applyNumberFormat="1" applyFill="1" applyBorder="1"/>
    <xf numFmtId="37" fontId="0" fillId="3" borderId="1" xfId="0" applyNumberFormat="1" applyFill="1" applyBorder="1"/>
    <xf numFmtId="37" fontId="2" fillId="2" borderId="1" xfId="0" applyNumberFormat="1" applyFont="1" applyFill="1" applyBorder="1"/>
    <xf numFmtId="0" fontId="2" fillId="2" borderId="1" xfId="0" applyFont="1" applyFill="1" applyBorder="1" applyAlignment="1">
      <alignment horizontal="center" vertical="center"/>
    </xf>
    <xf numFmtId="166" fontId="0" fillId="0" borderId="1" xfId="2" applyNumberFormat="1" applyFont="1" applyBorder="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0" fillId="3" borderId="3" xfId="1" applyNumberFormat="1" applyFont="1" applyFill="1" applyBorder="1"/>
    <xf numFmtId="165" fontId="0" fillId="3" borderId="1" xfId="1" applyNumberFormat="1" applyFont="1" applyFill="1" applyBorder="1"/>
    <xf numFmtId="37" fontId="0" fillId="4" borderId="3" xfId="0" applyNumberFormat="1" applyFill="1" applyBorder="1"/>
    <xf numFmtId="10" fontId="5" fillId="4" borderId="3" xfId="3" applyNumberFormat="1" applyFont="1" applyFill="1" applyBorder="1" applyAlignment="1">
      <alignment horizontal="right" vertical="center"/>
    </xf>
    <xf numFmtId="37" fontId="0" fillId="4" borderId="1" xfId="0" applyNumberFormat="1" applyFill="1" applyBorder="1"/>
    <xf numFmtId="166" fontId="0" fillId="4" borderId="1" xfId="0" applyNumberFormat="1" applyFill="1" applyBorder="1"/>
    <xf numFmtId="166" fontId="0" fillId="0" borderId="0" xfId="0" applyNumberFormat="1"/>
    <xf numFmtId="166" fontId="2" fillId="2" borderId="1" xfId="2" applyNumberFormat="1" applyFont="1" applyFill="1" applyBorder="1"/>
    <xf numFmtId="0" fontId="9" fillId="0" borderId="0" xfId="0" applyFont="1" applyAlignment="1">
      <alignment wrapText="1"/>
    </xf>
    <xf numFmtId="0" fontId="0" fillId="0" borderId="0" xfId="0" applyAlignment="1">
      <alignment vertical="top"/>
    </xf>
    <xf numFmtId="0" fontId="4"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9" fillId="0" borderId="0" xfId="0" applyNumberFormat="1" applyFont="1" applyAlignment="1">
      <alignment vertical="top" wrapText="1"/>
    </xf>
    <xf numFmtId="166" fontId="0" fillId="5" borderId="1" xfId="2" applyNumberFormat="1" applyFont="1" applyFill="1" applyBorder="1"/>
    <xf numFmtId="166" fontId="0" fillId="5" borderId="1" xfId="0" applyNumberFormat="1" applyFill="1" applyBorder="1"/>
    <xf numFmtId="0" fontId="6"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4" fillId="2" borderId="3" xfId="3" applyFont="1" applyFill="1" applyBorder="1" applyAlignment="1">
      <alignment horizontal="right"/>
    </xf>
    <xf numFmtId="164" fontId="0" fillId="0" borderId="7" xfId="0" applyNumberFormat="1" applyFill="1" applyBorder="1" applyAlignment="1">
      <alignment horizontal="right"/>
    </xf>
    <xf numFmtId="164" fontId="0" fillId="0" borderId="4" xfId="0" applyNumberFormat="1" applyFill="1" applyBorder="1" applyAlignment="1">
      <alignment horizontal="right"/>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37" fontId="2" fillId="2" borderId="3" xfId="0" applyNumberFormat="1" applyFont="1" applyFill="1" applyBorder="1"/>
    <xf numFmtId="166" fontId="4" fillId="2" borderId="3" xfId="1" applyNumberFormat="1" applyFont="1" applyFill="1" applyBorder="1" applyAlignment="1">
      <alignment horizontal="right"/>
    </xf>
    <xf numFmtId="166" fontId="2" fillId="2" borderId="3" xfId="2" applyNumberFormat="1" applyFont="1" applyFill="1" applyBorder="1"/>
    <xf numFmtId="37" fontId="0" fillId="4" borderId="12" xfId="0" applyNumberFormat="1" applyFill="1" applyBorder="1"/>
    <xf numFmtId="10" fontId="5" fillId="4" borderId="12" xfId="3" applyNumberFormat="1" applyFont="1" applyFill="1" applyBorder="1" applyAlignment="1">
      <alignment horizontal="right" vertical="center"/>
    </xf>
    <xf numFmtId="166" fontId="5" fillId="0" borderId="12" xfId="2" applyNumberFormat="1" applyFont="1" applyFill="1" applyBorder="1" applyAlignment="1">
      <alignment horizontal="right" vertical="center"/>
    </xf>
    <xf numFmtId="0" fontId="4" fillId="2"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0" xfId="0" applyFont="1" applyAlignment="1">
      <alignment horizontal="left" wrapText="1"/>
    </xf>
    <xf numFmtId="44" fontId="0" fillId="0" borderId="1" xfId="2" applyNumberFormat="1" applyFont="1" applyBorder="1"/>
    <xf numFmtId="0" fontId="9" fillId="0" borderId="0" xfId="0" applyFont="1" applyAlignment="1">
      <alignment vertical="top" wrapText="1"/>
    </xf>
    <xf numFmtId="0" fontId="9" fillId="0" borderId="0" xfId="0" applyFont="1" applyAlignment="1">
      <alignment vertical="top"/>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66" fontId="12" fillId="0" borderId="1" xfId="2" applyNumberFormat="1" applyFont="1" applyBorder="1"/>
    <xf numFmtId="166" fontId="10" fillId="2" borderId="1" xfId="2" applyNumberFormat="1" applyFont="1" applyFill="1" applyBorder="1"/>
    <xf numFmtId="44" fontId="0" fillId="0" borderId="0" xfId="0" applyNumberFormat="1"/>
    <xf numFmtId="9" fontId="0" fillId="0" borderId="1" xfId="3" applyFont="1" applyBorder="1"/>
    <xf numFmtId="9" fontId="0" fillId="0" borderId="11" xfId="3" applyFont="1" applyFill="1" applyBorder="1"/>
    <xf numFmtId="0" fontId="2" fillId="2" borderId="5" xfId="0" applyFont="1" applyFill="1" applyBorder="1" applyAlignment="1">
      <alignment horizontal="center" vertical="center"/>
    </xf>
    <xf numFmtId="9" fontId="0" fillId="2" borderId="1" xfId="3" applyFont="1" applyFill="1" applyBorder="1"/>
    <xf numFmtId="44" fontId="2" fillId="2" borderId="1" xfId="2" applyNumberFormat="1" applyFont="1" applyFill="1" applyBorder="1"/>
    <xf numFmtId="44" fontId="9" fillId="0" borderId="0" xfId="0" applyNumberFormat="1" applyFont="1" applyAlignment="1">
      <alignment vertical="top"/>
    </xf>
    <xf numFmtId="166" fontId="9" fillId="0" borderId="0" xfId="0" applyNumberFormat="1" applyFont="1" applyAlignment="1">
      <alignment wrapText="1"/>
    </xf>
    <xf numFmtId="44" fontId="0" fillId="6" borderId="1" xfId="2" applyNumberFormat="1" applyFont="1" applyFill="1" applyBorder="1"/>
    <xf numFmtId="166" fontId="9" fillId="0" borderId="0" xfId="0" applyNumberFormat="1" applyFont="1" applyAlignment="1">
      <alignment vertical="top"/>
    </xf>
    <xf numFmtId="44" fontId="9" fillId="0" borderId="0" xfId="0" applyNumberFormat="1" applyFont="1" applyAlignment="1">
      <alignment wrapText="1"/>
    </xf>
    <xf numFmtId="167" fontId="0" fillId="0" borderId="0" xfId="0" applyNumberFormat="1"/>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8" fillId="2" borderId="3" xfId="0" applyFont="1" applyFill="1" applyBorder="1" applyAlignment="1">
      <alignment horizontal="center" vertical="center"/>
    </xf>
    <xf numFmtId="164" fontId="8" fillId="0" borderId="3" xfId="0" applyNumberFormat="1" applyFont="1" applyFill="1" applyBorder="1" applyAlignment="1">
      <alignment horizontal="right"/>
    </xf>
    <xf numFmtId="37" fontId="8" fillId="4" borderId="3" xfId="0" applyNumberFormat="1" applyFont="1" applyFill="1" applyBorder="1"/>
    <xf numFmtId="10" fontId="13" fillId="4" borderId="3" xfId="3" applyNumberFormat="1" applyFont="1" applyFill="1" applyBorder="1" applyAlignment="1">
      <alignment horizontal="right" vertical="center"/>
    </xf>
    <xf numFmtId="166" fontId="13" fillId="0" borderId="3" xfId="2" applyNumberFormat="1" applyFont="1" applyFill="1" applyBorder="1" applyAlignment="1">
      <alignment horizontal="right" vertical="center"/>
    </xf>
    <xf numFmtId="0" fontId="8" fillId="2" borderId="1" xfId="0" applyFont="1" applyFill="1" applyBorder="1" applyAlignment="1">
      <alignment horizontal="center" vertical="center"/>
    </xf>
    <xf numFmtId="164" fontId="8" fillId="0" borderId="1" xfId="0" applyNumberFormat="1" applyFont="1" applyFill="1" applyBorder="1" applyAlignment="1">
      <alignment horizontal="right"/>
    </xf>
    <xf numFmtId="37" fontId="8" fillId="4" borderId="1" xfId="0" applyNumberFormat="1" applyFont="1" applyFill="1" applyBorder="1"/>
    <xf numFmtId="166" fontId="13" fillId="0" borderId="1" xfId="2" applyNumberFormat="1" applyFont="1" applyFill="1" applyBorder="1" applyAlignment="1">
      <alignment horizontal="right" vertical="center"/>
    </xf>
    <xf numFmtId="0" fontId="15" fillId="2" borderId="1" xfId="0" applyFont="1" applyFill="1" applyBorder="1" applyAlignment="1">
      <alignment horizontal="center" vertical="center"/>
    </xf>
    <xf numFmtId="164" fontId="15" fillId="2" borderId="1" xfId="0" applyNumberFormat="1" applyFont="1" applyFill="1" applyBorder="1" applyAlignment="1">
      <alignment horizontal="right"/>
    </xf>
    <xf numFmtId="37" fontId="6" fillId="2" borderId="1" xfId="0" applyNumberFormat="1" applyFont="1" applyFill="1" applyBorder="1"/>
    <xf numFmtId="9" fontId="15" fillId="2" borderId="1" xfId="3" applyFont="1" applyFill="1" applyBorder="1" applyAlignment="1">
      <alignment horizontal="right"/>
    </xf>
    <xf numFmtId="166" fontId="15" fillId="2" borderId="1" xfId="1" applyNumberFormat="1" applyFont="1" applyFill="1" applyBorder="1" applyAlignment="1">
      <alignment horizontal="right"/>
    </xf>
    <xf numFmtId="44" fontId="16" fillId="2" borderId="1" xfId="2" applyNumberFormat="1" applyFont="1" applyFill="1" applyBorder="1"/>
    <xf numFmtId="166" fontId="16" fillId="2" borderId="1" xfId="2" applyNumberFormat="1" applyFont="1" applyFill="1" applyBorder="1"/>
    <xf numFmtId="44" fontId="1" fillId="6" borderId="1" xfId="2" applyNumberFormat="1" applyFont="1" applyFill="1" applyBorder="1"/>
    <xf numFmtId="44" fontId="1" fillId="0" borderId="1" xfId="2" applyNumberFormat="1" applyFont="1" applyBorder="1"/>
    <xf numFmtId="166" fontId="1" fillId="0" borderId="1" xfId="2" applyNumberFormat="1" applyFont="1" applyBorder="1"/>
    <xf numFmtId="9" fontId="1" fillId="0" borderId="1" xfId="3" applyFont="1" applyBorder="1"/>
    <xf numFmtId="166" fontId="1" fillId="6" borderId="1" xfId="0" applyNumberFormat="1" applyFont="1" applyFill="1" applyBorder="1"/>
    <xf numFmtId="9" fontId="1" fillId="2" borderId="1" xfId="3" applyFont="1" applyFill="1" applyBorder="1"/>
    <xf numFmtId="166" fontId="14" fillId="5" borderId="1" xfId="2" applyNumberFormat="1" applyFont="1" applyFill="1" applyBorder="1"/>
    <xf numFmtId="44" fontId="14" fillId="5" borderId="1" xfId="2" applyNumberFormat="1" applyFont="1" applyFill="1" applyBorder="1"/>
    <xf numFmtId="0" fontId="2" fillId="2" borderId="2" xfId="0" applyFont="1" applyFill="1" applyBorder="1" applyAlignment="1">
      <alignment horizontal="center" vertical="center"/>
    </xf>
    <xf numFmtId="44" fontId="1" fillId="3" borderId="1" xfId="2" applyNumberFormat="1" applyFont="1" applyFill="1" applyBorder="1"/>
    <xf numFmtId="44" fontId="12" fillId="0" borderId="1" xfId="2" applyNumberFormat="1" applyFont="1" applyBorder="1"/>
    <xf numFmtId="44" fontId="0" fillId="6" borderId="1" xfId="0" applyNumberFormat="1" applyFill="1" applyBorder="1"/>
    <xf numFmtId="44" fontId="1" fillId="6" borderId="1" xfId="0" applyNumberFormat="1" applyFont="1" applyFill="1" applyBorder="1"/>
    <xf numFmtId="44" fontId="2" fillId="2" borderId="1" xfId="0" applyNumberFormat="1" applyFont="1" applyFill="1" applyBorder="1"/>
    <xf numFmtId="0" fontId="7" fillId="2" borderId="4" xfId="0" applyFont="1" applyFill="1" applyBorder="1" applyAlignment="1">
      <alignment horizontal="center" vertical="center" wrapText="1"/>
    </xf>
    <xf numFmtId="0" fontId="8" fillId="0" borderId="0" xfId="0" applyFont="1" applyAlignment="1">
      <alignment vertical="top"/>
    </xf>
  </cellXfs>
  <cellStyles count="6">
    <cellStyle name="Comma" xfId="1" builtinId="3"/>
    <cellStyle name="Currency" xfId="2" builtinId="4"/>
    <cellStyle name="Currency 2" xfId="4"/>
    <cellStyle name="Normal" xfId="0" builtinId="0"/>
    <cellStyle name="Percent" xfId="3"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topLeftCell="E1" zoomScaleNormal="100" workbookViewId="0">
      <selection activeCell="U16" sqref="U16"/>
    </sheetView>
  </sheetViews>
  <sheetFormatPr defaultRowHeight="15" x14ac:dyDescent="0.25"/>
  <cols>
    <col min="1" max="1" width="9.140625" style="3"/>
    <col min="2" max="2" width="12.28515625" style="3" customWidth="1"/>
    <col min="3" max="3" width="12.28515625" style="3" hidden="1" customWidth="1"/>
    <col min="4" max="4" width="9.140625" style="3" customWidth="1"/>
    <col min="5" max="5" width="8.42578125" style="3" customWidth="1"/>
    <col min="6" max="6" width="13" style="3" hidden="1" customWidth="1"/>
    <col min="7" max="12" width="16.42578125" style="3" customWidth="1"/>
    <col min="13" max="13" width="16.42578125" style="3" hidden="1" customWidth="1"/>
    <col min="14" max="14" width="16.42578125" style="3" customWidth="1"/>
    <col min="15" max="15" width="6.28515625" style="3" hidden="1" customWidth="1"/>
    <col min="16" max="16" width="16.42578125" style="3" hidden="1" customWidth="1"/>
    <col min="17" max="17" width="16.42578125" style="3" customWidth="1"/>
    <col min="18" max="18" width="17" style="3" customWidth="1"/>
    <col min="19" max="19" width="9.140625" style="3"/>
    <col min="20" max="20" width="10" style="3" bestFit="1" customWidth="1"/>
    <col min="21" max="16384" width="9.140625" style="3"/>
  </cols>
  <sheetData>
    <row r="1" spans="1:20" ht="30" customHeight="1" x14ac:dyDescent="0.25">
      <c r="A1" s="68" t="s">
        <v>0</v>
      </c>
      <c r="B1" s="68"/>
      <c r="C1" s="17" t="s">
        <v>13</v>
      </c>
      <c r="D1" s="69" t="s">
        <v>18</v>
      </c>
      <c r="E1" s="71"/>
      <c r="F1" s="13"/>
      <c r="G1" s="76" t="s">
        <v>20</v>
      </c>
      <c r="H1" s="77"/>
      <c r="I1" s="76" t="s">
        <v>23</v>
      </c>
      <c r="J1" s="85"/>
      <c r="K1" s="77"/>
      <c r="L1" s="46" t="s">
        <v>44</v>
      </c>
      <c r="M1" s="78" t="s">
        <v>23</v>
      </c>
      <c r="N1" s="27" t="s">
        <v>21</v>
      </c>
      <c r="O1" s="27"/>
      <c r="P1" s="31" t="s">
        <v>42</v>
      </c>
      <c r="Q1" s="31" t="s">
        <v>25</v>
      </c>
      <c r="R1" s="27" t="s">
        <v>27</v>
      </c>
    </row>
    <row r="2" spans="1:20" ht="45.75" customHeight="1" x14ac:dyDescent="0.25">
      <c r="A2" s="68"/>
      <c r="B2" s="68"/>
      <c r="C2" s="18"/>
      <c r="D2" s="20" t="s">
        <v>16</v>
      </c>
      <c r="E2" s="126" t="s">
        <v>17</v>
      </c>
      <c r="F2" s="14" t="s">
        <v>15</v>
      </c>
      <c r="G2" s="30" t="s">
        <v>50</v>
      </c>
      <c r="H2" s="30" t="s">
        <v>51</v>
      </c>
      <c r="I2" s="30" t="s">
        <v>46</v>
      </c>
      <c r="J2" s="30" t="s">
        <v>40</v>
      </c>
      <c r="K2" s="30" t="s">
        <v>52</v>
      </c>
      <c r="L2" s="30" t="s">
        <v>45</v>
      </c>
      <c r="M2" s="79" t="s">
        <v>24</v>
      </c>
      <c r="N2" s="30" t="s">
        <v>53</v>
      </c>
      <c r="O2" s="29"/>
      <c r="P2" s="29"/>
      <c r="Q2" s="29"/>
      <c r="R2" s="30" t="s">
        <v>45</v>
      </c>
    </row>
    <row r="3" spans="1:20" x14ac:dyDescent="0.25">
      <c r="A3" s="11">
        <v>500</v>
      </c>
      <c r="B3" s="11" t="s">
        <v>10</v>
      </c>
      <c r="C3" s="4">
        <v>117000</v>
      </c>
      <c r="D3" s="98">
        <v>1047</v>
      </c>
      <c r="E3" s="99">
        <f>D3/$D$15</f>
        <v>5.7609772202046883E-2</v>
      </c>
      <c r="F3" s="5" t="e">
        <f>#REF!*#REF!</f>
        <v>#REF!</v>
      </c>
      <c r="G3" s="73">
        <f>$G$15*E3</f>
        <v>9525.7758336084516</v>
      </c>
      <c r="H3" s="73">
        <f>$H$15*E3</f>
        <v>19369.557609772204</v>
      </c>
      <c r="I3" s="73">
        <f>$I$15*E3</f>
        <v>5167.1074595576101</v>
      </c>
      <c r="J3" s="73">
        <f t="shared" ref="J3:J14" si="0">$J$15*E3</f>
        <v>298.0827550346649</v>
      </c>
      <c r="K3" s="73">
        <f>(J3*14)+I3</f>
        <v>9340.2660300429197</v>
      </c>
      <c r="L3" s="90">
        <f>G3+H3+K3</f>
        <v>38235.599473423572</v>
      </c>
      <c r="M3" s="122">
        <f>$M$15*E3</f>
        <v>6097.0342247166282</v>
      </c>
      <c r="N3" s="28">
        <v>25449</v>
      </c>
      <c r="O3" s="83">
        <f>N3/$N$15</f>
        <v>9.219783643569808E-2</v>
      </c>
      <c r="P3" s="73">
        <f>O3*$P$15</f>
        <v>6750.1723968031993</v>
      </c>
      <c r="Q3" s="28"/>
      <c r="R3" s="123">
        <f>L3+N3+Q3</f>
        <v>63684.599473423572</v>
      </c>
    </row>
    <row r="4" spans="1:20" x14ac:dyDescent="0.25">
      <c r="A4" s="12">
        <v>501</v>
      </c>
      <c r="B4" s="12" t="s">
        <v>9</v>
      </c>
      <c r="C4" s="1">
        <v>67500</v>
      </c>
      <c r="D4" s="103">
        <v>1138</v>
      </c>
      <c r="E4" s="99">
        <f t="shared" ref="E4:E14" si="1">D4/$D$15</f>
        <v>6.2616925277869481E-2</v>
      </c>
      <c r="F4" s="2" t="e">
        <f>#REF!*#REF!</f>
        <v>#REF!</v>
      </c>
      <c r="G4" s="73">
        <f t="shared" ref="G4:G14" si="2">$G$15*E4</f>
        <v>10353.70859469572</v>
      </c>
      <c r="H4" s="73">
        <f t="shared" ref="H4:H14" si="3">$H$15*E4</f>
        <v>21053.062616925276</v>
      </c>
      <c r="I4" s="73">
        <f t="shared" ref="I4:I14" si="4">$I$15*E4</f>
        <v>5616.2065797292844</v>
      </c>
      <c r="J4" s="73">
        <f>$J$15*E4</f>
        <v>323.99061626499395</v>
      </c>
      <c r="K4" s="73">
        <f t="shared" ref="K4:K14" si="5">J4*14+I4</f>
        <v>10152.0752074392</v>
      </c>
      <c r="L4" s="90">
        <f t="shared" ref="L4:L14" si="6">G4+H4+K4</f>
        <v>41558.846419060195</v>
      </c>
      <c r="M4" s="122">
        <f>$M$15*E4</f>
        <v>6626.9579252411868</v>
      </c>
      <c r="N4" s="28">
        <v>14682</v>
      </c>
      <c r="O4" s="83">
        <f t="shared" ref="O4:O14" si="7">N4/$N$15</f>
        <v>5.3190641461311618E-2</v>
      </c>
      <c r="P4" s="73">
        <f t="shared" ref="P4:P14" si="8">O4*$P$15</f>
        <v>3894.2996239484687</v>
      </c>
      <c r="Q4" s="28"/>
      <c r="R4" s="123">
        <f t="shared" ref="R4:R14" si="9">L4+N4+Q4</f>
        <v>56240.846419060195</v>
      </c>
    </row>
    <row r="5" spans="1:20" x14ac:dyDescent="0.25">
      <c r="A5" s="12">
        <v>502</v>
      </c>
      <c r="B5" s="12" t="s">
        <v>2</v>
      </c>
      <c r="C5" s="1">
        <v>67500</v>
      </c>
      <c r="D5" s="103">
        <v>1189</v>
      </c>
      <c r="E5" s="99">
        <f t="shared" si="1"/>
        <v>6.5423131946737101E-2</v>
      </c>
      <c r="F5" s="2" t="e">
        <f>#REF!*#REF!</f>
        <v>#REF!</v>
      </c>
      <c r="G5" s="73">
        <f t="shared" si="2"/>
        <v>10817.714867392981</v>
      </c>
      <c r="H5" s="73">
        <f t="shared" si="3"/>
        <v>21996.56542313195</v>
      </c>
      <c r="I5" s="73">
        <f t="shared" si="4"/>
        <v>5867.8994932320911</v>
      </c>
      <c r="J5" s="73">
        <f t="shared" ref="J5:J14" si="10">$J$15*E5</f>
        <v>338.51040662484871</v>
      </c>
      <c r="K5" s="73">
        <f t="shared" si="5"/>
        <v>10607.045185979972</v>
      </c>
      <c r="L5" s="90">
        <f t="shared" si="6"/>
        <v>43421.325476504899</v>
      </c>
      <c r="M5" s="122">
        <f>$M$15*E5</f>
        <v>6923.948131029676</v>
      </c>
      <c r="N5" s="28">
        <v>14682</v>
      </c>
      <c r="O5" s="83">
        <f t="shared" si="7"/>
        <v>5.3190641461311618E-2</v>
      </c>
      <c r="P5" s="73">
        <f t="shared" si="8"/>
        <v>3894.2996239484687</v>
      </c>
      <c r="Q5" s="28"/>
      <c r="R5" s="123">
        <f t="shared" si="9"/>
        <v>58103.325476504899</v>
      </c>
    </row>
    <row r="6" spans="1:20" x14ac:dyDescent="0.25">
      <c r="A6" s="12">
        <v>503</v>
      </c>
      <c r="B6" s="12" t="s">
        <v>3</v>
      </c>
      <c r="C6" s="1">
        <v>288000</v>
      </c>
      <c r="D6" s="103">
        <v>5242</v>
      </c>
      <c r="E6" s="99">
        <f t="shared" si="1"/>
        <v>0.28843402663145151</v>
      </c>
      <c r="F6" s="2" t="e">
        <f>#REF!*#REF!</f>
        <v>#REF!</v>
      </c>
      <c r="G6" s="73">
        <f t="shared" si="2"/>
        <v>47692.56630351051</v>
      </c>
      <c r="H6" s="73">
        <f t="shared" si="3"/>
        <v>96977.288434026632</v>
      </c>
      <c r="I6" s="73">
        <f t="shared" si="4"/>
        <v>25870.083383955101</v>
      </c>
      <c r="J6" s="73">
        <f t="shared" si="10"/>
        <v>1492.4066875756575</v>
      </c>
      <c r="K6" s="73">
        <f t="shared" si="5"/>
        <v>46763.77701001431</v>
      </c>
      <c r="L6" s="90">
        <f t="shared" si="6"/>
        <v>191433.63174755147</v>
      </c>
      <c r="M6" s="122">
        <f>$M$15*E6</f>
        <v>30525.93448516195</v>
      </c>
      <c r="N6" s="28">
        <v>62645</v>
      </c>
      <c r="O6" s="83">
        <f t="shared" si="7"/>
        <v>0.2269532580264178</v>
      </c>
      <c r="P6" s="73">
        <f t="shared" si="8"/>
        <v>16616.155833146153</v>
      </c>
      <c r="Q6" s="28"/>
      <c r="R6" s="123">
        <f t="shared" si="9"/>
        <v>254078.63174755147</v>
      </c>
    </row>
    <row r="7" spans="1:20" x14ac:dyDescent="0.25">
      <c r="A7" s="12">
        <v>504</v>
      </c>
      <c r="B7" s="12" t="s">
        <v>4</v>
      </c>
      <c r="C7" s="1">
        <v>117000</v>
      </c>
      <c r="D7" s="103">
        <v>1338</v>
      </c>
      <c r="E7" s="99">
        <f t="shared" si="1"/>
        <v>7.3621657312644431E-2</v>
      </c>
      <c r="F7" s="2" t="e">
        <f>#REF!*#REF!</f>
        <v>#REF!</v>
      </c>
      <c r="G7" s="73">
        <f t="shared" si="2"/>
        <v>12173.341036645757</v>
      </c>
      <c r="H7" s="73">
        <f t="shared" si="3"/>
        <v>24753.07362165731</v>
      </c>
      <c r="I7" s="73">
        <f t="shared" si="4"/>
        <v>6603.237613073622</v>
      </c>
      <c r="J7" s="73">
        <f t="shared" si="10"/>
        <v>380.93097061736546</v>
      </c>
      <c r="K7" s="73">
        <f t="shared" si="5"/>
        <v>11936.27120171674</v>
      </c>
      <c r="L7" s="90">
        <f t="shared" si="6"/>
        <v>48862.685860019803</v>
      </c>
      <c r="M7" s="122">
        <f>$M$15*E7</f>
        <v>7791.6253989215356</v>
      </c>
      <c r="N7" s="28">
        <v>25449</v>
      </c>
      <c r="O7" s="83">
        <f t="shared" si="7"/>
        <v>9.219783643569808E-2</v>
      </c>
      <c r="P7" s="73">
        <f t="shared" si="8"/>
        <v>6750.1723968031993</v>
      </c>
      <c r="Q7" s="28"/>
      <c r="R7" s="123">
        <f t="shared" si="9"/>
        <v>74311.685860019803</v>
      </c>
    </row>
    <row r="8" spans="1:20" x14ac:dyDescent="0.25">
      <c r="A8" s="12">
        <v>505</v>
      </c>
      <c r="B8" s="12" t="s">
        <v>5</v>
      </c>
      <c r="C8" s="1">
        <v>252000</v>
      </c>
      <c r="D8" s="103">
        <v>3865</v>
      </c>
      <c r="E8" s="99">
        <f t="shared" si="1"/>
        <v>0.21266644657202596</v>
      </c>
      <c r="F8" s="2" t="e">
        <f>#REF!*#REF!</f>
        <v>#REF!</v>
      </c>
      <c r="G8" s="73">
        <f t="shared" si="2"/>
        <v>35164.396940684492</v>
      </c>
      <c r="H8" s="73">
        <f t="shared" si="3"/>
        <v>71502.712666446576</v>
      </c>
      <c r="I8" s="73">
        <f t="shared" si="4"/>
        <v>19074.374719379335</v>
      </c>
      <c r="J8" s="73">
        <f t="shared" si="10"/>
        <v>1100.3723478595796</v>
      </c>
      <c r="K8" s="73">
        <f t="shared" si="5"/>
        <v>34479.587589413451</v>
      </c>
      <c r="L8" s="90">
        <f t="shared" si="6"/>
        <v>141146.69719654453</v>
      </c>
      <c r="M8" s="122">
        <f>$M$15*E8</f>
        <v>22507.198928872745</v>
      </c>
      <c r="N8" s="28">
        <v>54814</v>
      </c>
      <c r="O8" s="83">
        <f t="shared" si="7"/>
        <v>0.19858274220544442</v>
      </c>
      <c r="P8" s="73">
        <f t="shared" si="8"/>
        <v>14539.036887829408</v>
      </c>
      <c r="Q8" s="28"/>
      <c r="R8" s="123">
        <f t="shared" si="9"/>
        <v>195960.69719654453</v>
      </c>
    </row>
    <row r="9" spans="1:20" x14ac:dyDescent="0.25">
      <c r="A9" s="12">
        <v>506</v>
      </c>
      <c r="B9" s="12" t="s">
        <v>14</v>
      </c>
      <c r="C9" s="1">
        <v>45000</v>
      </c>
      <c r="D9" s="103">
        <v>666</v>
      </c>
      <c r="E9" s="99">
        <f t="shared" si="1"/>
        <v>3.6645757675800597E-2</v>
      </c>
      <c r="F9" s="2" t="e">
        <f>#REF!*#REF!</f>
        <v>#REF!</v>
      </c>
      <c r="G9" s="73">
        <f t="shared" si="2"/>
        <v>6059.3760316936286</v>
      </c>
      <c r="H9" s="73">
        <f t="shared" si="3"/>
        <v>12321.036645757677</v>
      </c>
      <c r="I9" s="73">
        <f t="shared" si="4"/>
        <v>3286.8133410366463</v>
      </c>
      <c r="J9" s="73">
        <f t="shared" si="10"/>
        <v>189.61137999339718</v>
      </c>
      <c r="K9" s="73">
        <f t="shared" si="5"/>
        <v>5941.3726609442074</v>
      </c>
      <c r="L9" s="90">
        <f t="shared" si="6"/>
        <v>24321.785338395515</v>
      </c>
      <c r="M9" s="122">
        <f>$M$15*E9</f>
        <v>3878.3426873555632</v>
      </c>
      <c r="N9" s="28">
        <v>9788</v>
      </c>
      <c r="O9" s="83">
        <f t="shared" si="7"/>
        <v>3.5460427640874412E-2</v>
      </c>
      <c r="P9" s="73">
        <f t="shared" si="8"/>
        <v>2596.199749298979</v>
      </c>
      <c r="Q9" s="28"/>
      <c r="R9" s="123">
        <f t="shared" si="9"/>
        <v>34109.785338395515</v>
      </c>
    </row>
    <row r="10" spans="1:20" x14ac:dyDescent="0.25">
      <c r="A10" s="12">
        <v>507</v>
      </c>
      <c r="B10" s="12" t="s">
        <v>6</v>
      </c>
      <c r="C10" s="1">
        <v>180000</v>
      </c>
      <c r="D10" s="103">
        <v>2138</v>
      </c>
      <c r="E10" s="99">
        <f t="shared" si="1"/>
        <v>0.11764058545174425</v>
      </c>
      <c r="F10" s="2" t="e">
        <f>#REF!*#REF!</f>
        <v>#REF!</v>
      </c>
      <c r="G10" s="73">
        <f t="shared" si="2"/>
        <v>19451.870804445913</v>
      </c>
      <c r="H10" s="73">
        <f t="shared" si="3"/>
        <v>39553.117640585449</v>
      </c>
      <c r="I10" s="73">
        <f t="shared" si="4"/>
        <v>10551.361746450975</v>
      </c>
      <c r="J10" s="73">
        <f t="shared" si="10"/>
        <v>608.69238802685152</v>
      </c>
      <c r="K10" s="73">
        <f t="shared" si="5"/>
        <v>19073.055178826897</v>
      </c>
      <c r="L10" s="90">
        <f t="shared" si="6"/>
        <v>78078.043623858262</v>
      </c>
      <c r="M10" s="122">
        <f>$M$15*E10</f>
        <v>12450.295293642932</v>
      </c>
      <c r="N10" s="28">
        <v>39153</v>
      </c>
      <c r="O10" s="83">
        <f t="shared" si="7"/>
        <v>0.14184533341062075</v>
      </c>
      <c r="P10" s="73">
        <f t="shared" si="8"/>
        <v>10385.064240325188</v>
      </c>
      <c r="Q10" s="28"/>
      <c r="R10" s="123">
        <f t="shared" si="9"/>
        <v>117231.04362385826</v>
      </c>
      <c r="T10" s="38"/>
    </row>
    <row r="11" spans="1:20" x14ac:dyDescent="0.25">
      <c r="A11" s="12">
        <v>509</v>
      </c>
      <c r="B11" s="12" t="s">
        <v>7</v>
      </c>
      <c r="C11" s="1">
        <v>45000</v>
      </c>
      <c r="D11" s="103">
        <v>614</v>
      </c>
      <c r="E11" s="99">
        <f t="shared" si="1"/>
        <v>3.3784527346759109E-2</v>
      </c>
      <c r="F11" s="2" t="e">
        <f>#REF!*#REF!</f>
        <v>#REF!</v>
      </c>
      <c r="G11" s="73">
        <f t="shared" si="2"/>
        <v>5586.2715967866188</v>
      </c>
      <c r="H11" s="73">
        <f t="shared" si="3"/>
        <v>11359.033784527348</v>
      </c>
      <c r="I11" s="73">
        <f t="shared" si="4"/>
        <v>3030.1852723671186</v>
      </c>
      <c r="J11" s="73">
        <f t="shared" si="10"/>
        <v>174.80688786178058</v>
      </c>
      <c r="K11" s="73">
        <f t="shared" si="5"/>
        <v>5477.4817024320473</v>
      </c>
      <c r="L11" s="90">
        <f t="shared" si="6"/>
        <v>22422.787083746014</v>
      </c>
      <c r="M11" s="122">
        <f>$M$15*E11</f>
        <v>3575.5291441986724</v>
      </c>
      <c r="N11" s="28">
        <v>9788</v>
      </c>
      <c r="O11" s="83">
        <f t="shared" si="7"/>
        <v>3.5460427640874412E-2</v>
      </c>
      <c r="P11" s="73">
        <f t="shared" si="8"/>
        <v>2596.199749298979</v>
      </c>
      <c r="Q11" s="28"/>
      <c r="R11" s="123">
        <f t="shared" si="9"/>
        <v>32210.787083746014</v>
      </c>
    </row>
    <row r="12" spans="1:20" x14ac:dyDescent="0.25">
      <c r="A12" s="12">
        <v>511</v>
      </c>
      <c r="B12" s="12" t="s">
        <v>8</v>
      </c>
      <c r="C12" s="1">
        <v>45000</v>
      </c>
      <c r="D12" s="103">
        <v>498</v>
      </c>
      <c r="E12" s="99">
        <f t="shared" si="1"/>
        <v>2.7401782766589635E-2</v>
      </c>
      <c r="F12" s="2" t="e">
        <f>#REF!*#REF!</f>
        <v>#REF!</v>
      </c>
      <c r="G12" s="73">
        <f t="shared" si="2"/>
        <v>4530.8847804555962</v>
      </c>
      <c r="H12" s="73">
        <f t="shared" si="3"/>
        <v>9213.0274017827669</v>
      </c>
      <c r="I12" s="73">
        <f t="shared" si="4"/>
        <v>2457.7072730274022</v>
      </c>
      <c r="J12" s="73">
        <f t="shared" si="10"/>
        <v>141.78148233740509</v>
      </c>
      <c r="K12" s="73">
        <f t="shared" si="5"/>
        <v>4442.6480257510739</v>
      </c>
      <c r="L12" s="90">
        <f t="shared" si="6"/>
        <v>18186.560207989438</v>
      </c>
      <c r="M12" s="122">
        <f>$M$15*E12</f>
        <v>2900.0220094640695</v>
      </c>
      <c r="N12" s="28">
        <v>9788</v>
      </c>
      <c r="O12" s="83">
        <f t="shared" si="7"/>
        <v>3.5460427640874412E-2</v>
      </c>
      <c r="P12" s="73">
        <f t="shared" si="8"/>
        <v>2596.199749298979</v>
      </c>
      <c r="Q12" s="28"/>
      <c r="R12" s="123">
        <f t="shared" si="9"/>
        <v>27974.560207989438</v>
      </c>
    </row>
    <row r="13" spans="1:20" x14ac:dyDescent="0.25">
      <c r="A13" s="12">
        <v>513</v>
      </c>
      <c r="B13" s="12" t="s">
        <v>11</v>
      </c>
      <c r="C13" s="1">
        <v>22500</v>
      </c>
      <c r="D13" s="103">
        <v>231</v>
      </c>
      <c r="E13" s="99">
        <f t="shared" si="1"/>
        <v>1.2710465500165071E-2</v>
      </c>
      <c r="F13" s="2" t="e">
        <f>#REF!*#REF!</f>
        <v>#REF!</v>
      </c>
      <c r="G13" s="73">
        <f t="shared" si="2"/>
        <v>2101.6754704522946</v>
      </c>
      <c r="H13" s="73">
        <f t="shared" si="3"/>
        <v>4273.5127104655003</v>
      </c>
      <c r="I13" s="73">
        <f t="shared" si="4"/>
        <v>1140.0208435127106</v>
      </c>
      <c r="J13" s="73">
        <f t="shared" si="10"/>
        <v>65.766109276989113</v>
      </c>
      <c r="K13" s="73">
        <f t="shared" si="5"/>
        <v>2060.7463733905579</v>
      </c>
      <c r="L13" s="90">
        <f t="shared" si="6"/>
        <v>8435.9345543083527</v>
      </c>
      <c r="M13" s="122">
        <f>$M$15*E13</f>
        <v>1345.1909321008034</v>
      </c>
      <c r="N13" s="28">
        <v>4894</v>
      </c>
      <c r="O13" s="83">
        <f t="shared" si="7"/>
        <v>1.7730213820437206E-2</v>
      </c>
      <c r="P13" s="73">
        <f t="shared" si="8"/>
        <v>1298.0998746494895</v>
      </c>
      <c r="Q13" s="28"/>
      <c r="R13" s="123">
        <f t="shared" si="9"/>
        <v>13329.934554308353</v>
      </c>
    </row>
    <row r="14" spans="1:20" x14ac:dyDescent="0.25">
      <c r="A14" s="12">
        <v>516</v>
      </c>
      <c r="B14" s="12" t="s">
        <v>12</v>
      </c>
      <c r="C14" s="1">
        <v>22500</v>
      </c>
      <c r="D14" s="103">
        <v>208</v>
      </c>
      <c r="E14" s="99">
        <f t="shared" si="1"/>
        <v>1.1444921316165951E-2</v>
      </c>
      <c r="F14" s="2" t="e">
        <f>#REF!*#REF!</f>
        <v>#REF!</v>
      </c>
      <c r="G14" s="73">
        <f t="shared" si="2"/>
        <v>1892.41773962804</v>
      </c>
      <c r="H14" s="73">
        <f t="shared" si="3"/>
        <v>3848.0114449213161</v>
      </c>
      <c r="I14" s="73">
        <f t="shared" si="4"/>
        <v>1026.5122746781117</v>
      </c>
      <c r="J14" s="73">
        <f t="shared" si="10"/>
        <v>59.217968526466379</v>
      </c>
      <c r="K14" s="73">
        <f t="shared" si="5"/>
        <v>1855.563834048641</v>
      </c>
      <c r="L14" s="90">
        <f t="shared" si="6"/>
        <v>7595.9930185979974</v>
      </c>
      <c r="M14" s="122">
        <f>$M$15*E14</f>
        <v>1211.2541726275631</v>
      </c>
      <c r="N14" s="28">
        <v>4894</v>
      </c>
      <c r="O14" s="83">
        <f t="shared" si="7"/>
        <v>1.7730213820437206E-2</v>
      </c>
      <c r="P14" s="73">
        <f t="shared" si="8"/>
        <v>1298.0998746494895</v>
      </c>
      <c r="Q14" s="28"/>
      <c r="R14" s="123">
        <f t="shared" si="9"/>
        <v>12489.993018597997</v>
      </c>
    </row>
    <row r="15" spans="1:20" x14ac:dyDescent="0.25">
      <c r="A15" s="16" t="s">
        <v>1</v>
      </c>
      <c r="B15" s="16"/>
      <c r="C15" s="7">
        <f>SUM(C3:C14)</f>
        <v>1269000</v>
      </c>
      <c r="D15" s="26">
        <f>SUM(D3:D14)</f>
        <v>18174</v>
      </c>
      <c r="E15" s="9">
        <f t="shared" ref="E15:F15" si="11">SUM(E3:E14)</f>
        <v>1</v>
      </c>
      <c r="F15" s="10" t="e">
        <f t="shared" si="11"/>
        <v>#REF!</v>
      </c>
      <c r="G15" s="87">
        <v>165350</v>
      </c>
      <c r="H15" s="39">
        <v>336220</v>
      </c>
      <c r="I15" s="87">
        <f>86837.33+9070-6215.82</f>
        <v>89691.510000000009</v>
      </c>
      <c r="J15" s="87">
        <v>5174.17</v>
      </c>
      <c r="K15" s="87">
        <f>SUM(K3:K14)</f>
        <v>162129.89000000001</v>
      </c>
      <c r="L15" s="87">
        <f>SUM(L3:L14)</f>
        <v>663699.89</v>
      </c>
      <c r="M15" s="81">
        <f>100000+(35000/6)</f>
        <v>105833.33333333333</v>
      </c>
      <c r="N15" s="39">
        <f>SUM(N3:N14)</f>
        <v>276026</v>
      </c>
      <c r="O15" s="86">
        <f>N15/$N$15</f>
        <v>1</v>
      </c>
      <c r="P15" s="39">
        <f>73214</f>
        <v>73214</v>
      </c>
      <c r="Q15" s="39">
        <f>SUM(Q3:Q14)</f>
        <v>0</v>
      </c>
      <c r="R15" s="15">
        <f>SUM(R3:R14)</f>
        <v>939725.89</v>
      </c>
    </row>
    <row r="16" spans="1:20" ht="69.75" customHeight="1" x14ac:dyDescent="0.25">
      <c r="H16" s="48" t="s">
        <v>47</v>
      </c>
      <c r="I16" s="74" t="s">
        <v>39</v>
      </c>
      <c r="J16" s="75"/>
      <c r="K16" s="88"/>
      <c r="L16" s="88"/>
      <c r="M16" s="40" t="s">
        <v>31</v>
      </c>
      <c r="O16" s="84"/>
      <c r="Q16" s="127" t="s">
        <v>28</v>
      </c>
    </row>
    <row r="17" spans="8:12" x14ac:dyDescent="0.25">
      <c r="H17" s="38"/>
      <c r="K17" s="38"/>
      <c r="L17" s="82"/>
    </row>
    <row r="18" spans="8:12" x14ac:dyDescent="0.25">
      <c r="I18" s="38"/>
      <c r="L18" s="82"/>
    </row>
    <row r="19" spans="8:12" x14ac:dyDescent="0.25">
      <c r="L19" s="82"/>
    </row>
  </sheetData>
  <mergeCells count="4">
    <mergeCell ref="A1:B2"/>
    <mergeCell ref="D1:E1"/>
    <mergeCell ref="I1:K1"/>
    <mergeCell ref="G1:H1"/>
  </mergeCells>
  <pageMargins left="0.7" right="0.7" top="0.75" bottom="0.75" header="0.3" footer="0.3"/>
  <pageSetup scale="56" orientation="landscape" r:id="rId1"/>
  <headerFooter>
    <oddHeader>&amp;CCHIN/NC HMIS Jan-Jun 2015 Costs by CoC</oddHeader>
    <oddFooter>&amp;RCHIN Governance Committee 1.26.15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topLeftCell="G1" zoomScaleNormal="100" workbookViewId="0">
      <selection activeCell="L16" sqref="L16"/>
    </sheetView>
  </sheetViews>
  <sheetFormatPr defaultRowHeight="15" x14ac:dyDescent="0.25"/>
  <cols>
    <col min="1" max="1" width="6.42578125" style="3" customWidth="1"/>
    <col min="2" max="2" width="12.28515625" style="3" customWidth="1"/>
    <col min="3" max="3" width="12.28515625" style="3" hidden="1" customWidth="1"/>
    <col min="4" max="4" width="9.140625" style="3" customWidth="1"/>
    <col min="5" max="5" width="8.42578125" style="3" customWidth="1"/>
    <col min="6" max="6" width="13" style="3" hidden="1" customWidth="1"/>
    <col min="7" max="9" width="16.42578125" style="3" customWidth="1"/>
    <col min="10" max="10" width="15.28515625" style="3" customWidth="1"/>
    <col min="11" max="14" width="16.42578125" style="3" customWidth="1"/>
    <col min="15" max="15" width="16.42578125" style="3" hidden="1" customWidth="1"/>
    <col min="16" max="16" width="16.42578125" style="3" customWidth="1"/>
    <col min="17" max="17" width="6.28515625" style="3" hidden="1" customWidth="1"/>
    <col min="18" max="18" width="16.42578125" style="3" hidden="1" customWidth="1"/>
    <col min="19" max="19" width="16.42578125" style="3" customWidth="1"/>
    <col min="20" max="20" width="17" style="3" customWidth="1"/>
    <col min="21" max="21" width="9.140625" style="3"/>
    <col min="22" max="22" width="10" style="3" bestFit="1" customWidth="1"/>
    <col min="23" max="16384" width="9.140625" style="3"/>
  </cols>
  <sheetData>
    <row r="1" spans="1:22" ht="30" customHeight="1" x14ac:dyDescent="0.25">
      <c r="A1" s="68" t="s">
        <v>0</v>
      </c>
      <c r="B1" s="68"/>
      <c r="C1" s="17" t="s">
        <v>13</v>
      </c>
      <c r="D1" s="69" t="s">
        <v>18</v>
      </c>
      <c r="E1" s="71"/>
      <c r="F1" s="46"/>
      <c r="G1" s="94" t="s">
        <v>20</v>
      </c>
      <c r="H1" s="120"/>
      <c r="I1" s="95"/>
      <c r="J1" s="76" t="s">
        <v>23</v>
      </c>
      <c r="K1" s="85"/>
      <c r="L1" s="85"/>
      <c r="M1" s="77"/>
      <c r="N1" s="46" t="s">
        <v>44</v>
      </c>
      <c r="O1" s="78" t="s">
        <v>23</v>
      </c>
      <c r="P1" s="27" t="s">
        <v>21</v>
      </c>
      <c r="Q1" s="27"/>
      <c r="R1" s="31" t="s">
        <v>42</v>
      </c>
      <c r="S1" s="31" t="s">
        <v>25</v>
      </c>
      <c r="T1" s="27" t="s">
        <v>27</v>
      </c>
    </row>
    <row r="2" spans="1:22" ht="45.75" customHeight="1" x14ac:dyDescent="0.25">
      <c r="A2" s="68"/>
      <c r="B2" s="68"/>
      <c r="C2" s="18"/>
      <c r="D2" s="20" t="s">
        <v>16</v>
      </c>
      <c r="E2" s="21" t="s">
        <v>17</v>
      </c>
      <c r="F2" s="14" t="s">
        <v>15</v>
      </c>
      <c r="G2" s="30" t="s">
        <v>50</v>
      </c>
      <c r="H2" s="30" t="s">
        <v>54</v>
      </c>
      <c r="I2" s="30" t="s">
        <v>51</v>
      </c>
      <c r="J2" s="30" t="s">
        <v>46</v>
      </c>
      <c r="K2" s="30" t="s">
        <v>49</v>
      </c>
      <c r="L2" s="30" t="s">
        <v>40</v>
      </c>
      <c r="M2" s="30" t="s">
        <v>52</v>
      </c>
      <c r="N2" s="30" t="s">
        <v>45</v>
      </c>
      <c r="O2" s="79" t="s">
        <v>24</v>
      </c>
      <c r="P2" s="29" t="s">
        <v>22</v>
      </c>
      <c r="Q2" s="29"/>
      <c r="R2" s="29"/>
      <c r="S2" s="29"/>
      <c r="T2" s="30" t="s">
        <v>45</v>
      </c>
    </row>
    <row r="3" spans="1:22" x14ac:dyDescent="0.25">
      <c r="A3" s="96">
        <v>500</v>
      </c>
      <c r="B3" s="96" t="s">
        <v>10</v>
      </c>
      <c r="C3" s="97">
        <v>117000</v>
      </c>
      <c r="D3" s="98">
        <v>1047</v>
      </c>
      <c r="E3" s="99">
        <f>D3/$D$15</f>
        <v>5.7609772202046883E-2</v>
      </c>
      <c r="F3" s="100" t="e">
        <f>#REF!*#REF!</f>
        <v>#REF!</v>
      </c>
      <c r="G3" s="119">
        <f>$G$15*E3</f>
        <v>9525.7758336084516</v>
      </c>
      <c r="H3" s="112">
        <f>SUM(G3+J3)</f>
        <v>14692.883293166062</v>
      </c>
      <c r="I3" s="113">
        <f>$I$15*E3</f>
        <v>19369.557609772204</v>
      </c>
      <c r="J3" s="118">
        <f>$J$15*E3</f>
        <v>5167.1074595576101</v>
      </c>
      <c r="K3" s="112"/>
      <c r="L3" s="114">
        <f>$L$15*E3</f>
        <v>298.0827550346649</v>
      </c>
      <c r="M3" s="113">
        <f>(L3*14)+J3</f>
        <v>9340.2660300429197</v>
      </c>
      <c r="N3" s="112">
        <f>G3+I3+M3</f>
        <v>38235.599473423572</v>
      </c>
      <c r="O3" s="80">
        <f>$O$15*E3</f>
        <v>6097.0342247166282</v>
      </c>
      <c r="P3" s="114">
        <v>25449</v>
      </c>
      <c r="Q3" s="115">
        <f>P3/$P$15</f>
        <v>9.219783643569808E-2</v>
      </c>
      <c r="R3" s="113">
        <f>Q3*$R$15</f>
        <v>6750.1723968031993</v>
      </c>
      <c r="S3" s="114"/>
      <c r="T3" s="116">
        <f>N3+P3+S3</f>
        <v>63684.599473423572</v>
      </c>
    </row>
    <row r="4" spans="1:22" x14ac:dyDescent="0.25">
      <c r="A4" s="101">
        <v>501</v>
      </c>
      <c r="B4" s="101" t="s">
        <v>9</v>
      </c>
      <c r="C4" s="102">
        <v>67500</v>
      </c>
      <c r="D4" s="103">
        <v>1138</v>
      </c>
      <c r="E4" s="99">
        <f t="shared" ref="E4:E14" si="0">D4/$D$15</f>
        <v>6.2616925277869481E-2</v>
      </c>
      <c r="F4" s="104" t="e">
        <f>#REF!*#REF!</f>
        <v>#REF!</v>
      </c>
      <c r="G4" s="119">
        <f t="shared" ref="G4:G14" si="1">$G$15*E4</f>
        <v>10353.70859469572</v>
      </c>
      <c r="H4" s="112">
        <f>SUM(G4+J4)</f>
        <v>15969.915174425005</v>
      </c>
      <c r="I4" s="113">
        <f t="shared" ref="I4:I14" si="2">$I$15*E4</f>
        <v>21053.062616925276</v>
      </c>
      <c r="J4" s="118">
        <f>$J$15*E4</f>
        <v>5616.2065797292844</v>
      </c>
      <c r="K4" s="112"/>
      <c r="L4" s="114">
        <f>$L$15*E4</f>
        <v>323.99061626499395</v>
      </c>
      <c r="M4" s="113">
        <f t="shared" ref="M4:M14" si="3">L4*14+J4</f>
        <v>10152.0752074392</v>
      </c>
      <c r="N4" s="112">
        <f>G4+I4+M4</f>
        <v>41558.846419060195</v>
      </c>
      <c r="O4" s="80">
        <f>$O$15*E4</f>
        <v>6626.9579252411868</v>
      </c>
      <c r="P4" s="114">
        <v>14682</v>
      </c>
      <c r="Q4" s="115">
        <f t="shared" ref="Q4:Q14" si="4">P4/$P$15</f>
        <v>5.3190641461311618E-2</v>
      </c>
      <c r="R4" s="113">
        <f t="shared" ref="R4:R14" si="5">Q4*$R$15</f>
        <v>3894.2996239484687</v>
      </c>
      <c r="S4" s="114"/>
      <c r="T4" s="116">
        <f t="shared" ref="T4:T14" si="6">N4+P4+S4</f>
        <v>56240.846419060195</v>
      </c>
    </row>
    <row r="5" spans="1:22" x14ac:dyDescent="0.25">
      <c r="A5" s="101">
        <v>502</v>
      </c>
      <c r="B5" s="101" t="s">
        <v>2</v>
      </c>
      <c r="C5" s="102">
        <v>67500</v>
      </c>
      <c r="D5" s="103">
        <v>1189</v>
      </c>
      <c r="E5" s="99">
        <f t="shared" si="0"/>
        <v>6.5423131946737101E-2</v>
      </c>
      <c r="F5" s="104" t="e">
        <f>#REF!*#REF!</f>
        <v>#REF!</v>
      </c>
      <c r="G5" s="119">
        <f t="shared" si="1"/>
        <v>10817.714867392981</v>
      </c>
      <c r="H5" s="112">
        <f>SUM(G5+J5)</f>
        <v>16685.61436062507</v>
      </c>
      <c r="I5" s="113">
        <f t="shared" si="2"/>
        <v>21996.56542313195</v>
      </c>
      <c r="J5" s="118">
        <f>$J$15*E5</f>
        <v>5867.8994932320911</v>
      </c>
      <c r="K5" s="112"/>
      <c r="L5" s="114">
        <f t="shared" ref="L5:L14" si="7">$L$15*E5</f>
        <v>338.51040662484871</v>
      </c>
      <c r="M5" s="113">
        <f t="shared" si="3"/>
        <v>10607.045185979972</v>
      </c>
      <c r="N5" s="112">
        <f>G5+I5+M5</f>
        <v>43421.325476504899</v>
      </c>
      <c r="O5" s="80">
        <f>$O$15*E5</f>
        <v>6923.948131029676</v>
      </c>
      <c r="P5" s="114">
        <v>14682</v>
      </c>
      <c r="Q5" s="115">
        <f t="shared" si="4"/>
        <v>5.3190641461311618E-2</v>
      </c>
      <c r="R5" s="113">
        <f t="shared" si="5"/>
        <v>3894.2996239484687</v>
      </c>
      <c r="S5" s="114"/>
      <c r="T5" s="116">
        <f t="shared" si="6"/>
        <v>58103.325476504899</v>
      </c>
    </row>
    <row r="6" spans="1:22" x14ac:dyDescent="0.25">
      <c r="A6" s="101">
        <v>503</v>
      </c>
      <c r="B6" s="101" t="s">
        <v>3</v>
      </c>
      <c r="C6" s="102">
        <v>288000</v>
      </c>
      <c r="D6" s="103">
        <v>5242</v>
      </c>
      <c r="E6" s="99">
        <f t="shared" si="0"/>
        <v>0.28843402663145151</v>
      </c>
      <c r="F6" s="104" t="e">
        <f>#REF!*#REF!</f>
        <v>#REF!</v>
      </c>
      <c r="G6" s="119">
        <f t="shared" si="1"/>
        <v>47692.56630351051</v>
      </c>
      <c r="H6" s="112">
        <f>SUM(G6+J6)-K6</f>
        <v>2945.5096874656156</v>
      </c>
      <c r="I6" s="113">
        <f t="shared" si="2"/>
        <v>96977.288434026632</v>
      </c>
      <c r="J6" s="118">
        <f>$J$15*E6</f>
        <v>25870.083383955101</v>
      </c>
      <c r="K6" s="112">
        <v>70617.14</v>
      </c>
      <c r="L6" s="114">
        <f t="shared" si="7"/>
        <v>1492.4066875756575</v>
      </c>
      <c r="M6" s="113">
        <f t="shared" si="3"/>
        <v>46763.77701001431</v>
      </c>
      <c r="N6" s="112">
        <f>G6+I6+M6</f>
        <v>191433.63174755147</v>
      </c>
      <c r="O6" s="80">
        <f>$O$15*E6</f>
        <v>30525.93448516195</v>
      </c>
      <c r="P6" s="114">
        <v>62645</v>
      </c>
      <c r="Q6" s="115">
        <f t="shared" si="4"/>
        <v>0.2269532580264178</v>
      </c>
      <c r="R6" s="113">
        <f t="shared" si="5"/>
        <v>16616.155833146153</v>
      </c>
      <c r="S6" s="114"/>
      <c r="T6" s="116">
        <f t="shared" si="6"/>
        <v>254078.63174755147</v>
      </c>
    </row>
    <row r="7" spans="1:22" x14ac:dyDescent="0.25">
      <c r="A7" s="101">
        <v>504</v>
      </c>
      <c r="B7" s="101" t="s">
        <v>4</v>
      </c>
      <c r="C7" s="102">
        <v>117000</v>
      </c>
      <c r="D7" s="103">
        <v>1338</v>
      </c>
      <c r="E7" s="99">
        <f t="shared" si="0"/>
        <v>7.3621657312644431E-2</v>
      </c>
      <c r="F7" s="104" t="e">
        <f>#REF!*#REF!</f>
        <v>#REF!</v>
      </c>
      <c r="G7" s="119">
        <f t="shared" si="1"/>
        <v>12173.341036645757</v>
      </c>
      <c r="H7" s="112">
        <f>SUM(G7+J7)</f>
        <v>18776.57864971938</v>
      </c>
      <c r="I7" s="113">
        <f t="shared" si="2"/>
        <v>24753.07362165731</v>
      </c>
      <c r="J7" s="118">
        <f>$J$15*E7</f>
        <v>6603.237613073622</v>
      </c>
      <c r="K7" s="112"/>
      <c r="L7" s="114">
        <f t="shared" si="7"/>
        <v>380.93097061736546</v>
      </c>
      <c r="M7" s="113">
        <f t="shared" si="3"/>
        <v>11936.27120171674</v>
      </c>
      <c r="N7" s="112">
        <f>G7+I7+M7</f>
        <v>48862.685860019803</v>
      </c>
      <c r="O7" s="80">
        <f>$O$15*E7</f>
        <v>7791.6253989215356</v>
      </c>
      <c r="P7" s="114">
        <v>25449</v>
      </c>
      <c r="Q7" s="115">
        <f t="shared" si="4"/>
        <v>9.219783643569808E-2</v>
      </c>
      <c r="R7" s="113">
        <f t="shared" si="5"/>
        <v>6750.1723968031993</v>
      </c>
      <c r="S7" s="114"/>
      <c r="T7" s="116">
        <f t="shared" si="6"/>
        <v>74311.685860019803</v>
      </c>
    </row>
    <row r="8" spans="1:22" x14ac:dyDescent="0.25">
      <c r="A8" s="101">
        <v>505</v>
      </c>
      <c r="B8" s="101" t="s">
        <v>5</v>
      </c>
      <c r="C8" s="102">
        <v>252000</v>
      </c>
      <c r="D8" s="103">
        <v>3865</v>
      </c>
      <c r="E8" s="99">
        <f t="shared" si="0"/>
        <v>0.21266644657202596</v>
      </c>
      <c r="F8" s="104" t="e">
        <f>#REF!*#REF!</f>
        <v>#REF!</v>
      </c>
      <c r="G8" s="119">
        <f t="shared" si="1"/>
        <v>35164.396940684492</v>
      </c>
      <c r="H8" s="112">
        <f>SUM(G8+J8)-K8</f>
        <v>35164.401660063828</v>
      </c>
      <c r="I8" s="113">
        <f t="shared" si="2"/>
        <v>71502.712666446576</v>
      </c>
      <c r="J8" s="119">
        <f>$J$15*E8</f>
        <v>19074.374719379335</v>
      </c>
      <c r="K8" s="112">
        <v>19074.37</v>
      </c>
      <c r="L8" s="114">
        <f t="shared" si="7"/>
        <v>1100.3723478595796</v>
      </c>
      <c r="M8" s="113">
        <f t="shared" si="3"/>
        <v>34479.587589413451</v>
      </c>
      <c r="N8" s="112">
        <f>G8+I8+M8</f>
        <v>141146.69719654453</v>
      </c>
      <c r="O8" s="80">
        <f>$O$15*E8</f>
        <v>22507.198928872745</v>
      </c>
      <c r="P8" s="114">
        <v>54814</v>
      </c>
      <c r="Q8" s="115">
        <f t="shared" si="4"/>
        <v>0.19858274220544442</v>
      </c>
      <c r="R8" s="113">
        <f t="shared" si="5"/>
        <v>14539.036887829408</v>
      </c>
      <c r="S8" s="114"/>
      <c r="T8" s="116">
        <f t="shared" si="6"/>
        <v>195960.69719654453</v>
      </c>
    </row>
    <row r="9" spans="1:22" x14ac:dyDescent="0.25">
      <c r="A9" s="101">
        <v>506</v>
      </c>
      <c r="B9" s="101" t="s">
        <v>14</v>
      </c>
      <c r="C9" s="102">
        <v>45000</v>
      </c>
      <c r="D9" s="103">
        <v>666</v>
      </c>
      <c r="E9" s="99">
        <f t="shared" si="0"/>
        <v>3.6645757675800597E-2</v>
      </c>
      <c r="F9" s="104" t="e">
        <f>#REF!*#REF!</f>
        <v>#REF!</v>
      </c>
      <c r="G9" s="119">
        <f t="shared" si="1"/>
        <v>6059.3760316936286</v>
      </c>
      <c r="H9" s="112">
        <f>SUM(G9+J9)</f>
        <v>9346.189372730274</v>
      </c>
      <c r="I9" s="113">
        <f t="shared" si="2"/>
        <v>12321.036645757677</v>
      </c>
      <c r="J9" s="118">
        <f>$J$15*E9</f>
        <v>3286.8133410366463</v>
      </c>
      <c r="K9" s="112"/>
      <c r="L9" s="114">
        <f t="shared" si="7"/>
        <v>189.61137999339718</v>
      </c>
      <c r="M9" s="113">
        <f t="shared" si="3"/>
        <v>5941.3726609442074</v>
      </c>
      <c r="N9" s="112">
        <f>G9+I9+M9</f>
        <v>24321.785338395515</v>
      </c>
      <c r="O9" s="80">
        <f>$O$15*E9</f>
        <v>3878.3426873555632</v>
      </c>
      <c r="P9" s="114">
        <v>9788</v>
      </c>
      <c r="Q9" s="115">
        <f t="shared" si="4"/>
        <v>3.5460427640874412E-2</v>
      </c>
      <c r="R9" s="113">
        <f t="shared" si="5"/>
        <v>2596.199749298979</v>
      </c>
      <c r="S9" s="114"/>
      <c r="T9" s="116">
        <f t="shared" si="6"/>
        <v>34109.785338395515</v>
      </c>
    </row>
    <row r="10" spans="1:22" x14ac:dyDescent="0.25">
      <c r="A10" s="101">
        <v>507</v>
      </c>
      <c r="B10" s="101" t="s">
        <v>6</v>
      </c>
      <c r="C10" s="102">
        <v>180000</v>
      </c>
      <c r="D10" s="103">
        <v>2138</v>
      </c>
      <c r="E10" s="99">
        <f t="shared" si="0"/>
        <v>0.11764058545174425</v>
      </c>
      <c r="F10" s="104" t="e">
        <f>#REF!*#REF!</f>
        <v>#REF!</v>
      </c>
      <c r="G10" s="119">
        <f t="shared" si="1"/>
        <v>19451.870804445913</v>
      </c>
      <c r="H10" s="112">
        <f>SUM(G10+J10)</f>
        <v>30003.232550896886</v>
      </c>
      <c r="I10" s="113">
        <f t="shared" si="2"/>
        <v>39553.117640585449</v>
      </c>
      <c r="J10" s="118">
        <f>$J$15*E10</f>
        <v>10551.361746450975</v>
      </c>
      <c r="K10" s="112"/>
      <c r="L10" s="114">
        <f t="shared" si="7"/>
        <v>608.69238802685152</v>
      </c>
      <c r="M10" s="113">
        <f t="shared" si="3"/>
        <v>19073.055178826897</v>
      </c>
      <c r="N10" s="112">
        <f>G10+I10+M10</f>
        <v>78078.043623858262</v>
      </c>
      <c r="O10" s="80">
        <f>$O$15*E10</f>
        <v>12450.295293642932</v>
      </c>
      <c r="P10" s="114">
        <v>39153</v>
      </c>
      <c r="Q10" s="115">
        <f t="shared" si="4"/>
        <v>0.14184533341062075</v>
      </c>
      <c r="R10" s="113">
        <f t="shared" si="5"/>
        <v>10385.064240325188</v>
      </c>
      <c r="S10" s="114"/>
      <c r="T10" s="116">
        <f t="shared" si="6"/>
        <v>117231.04362385826</v>
      </c>
      <c r="V10" s="38"/>
    </row>
    <row r="11" spans="1:22" x14ac:dyDescent="0.25">
      <c r="A11" s="101">
        <v>509</v>
      </c>
      <c r="B11" s="101" t="s">
        <v>7</v>
      </c>
      <c r="C11" s="102">
        <v>45000</v>
      </c>
      <c r="D11" s="103">
        <v>614</v>
      </c>
      <c r="E11" s="99">
        <f t="shared" si="0"/>
        <v>3.3784527346759109E-2</v>
      </c>
      <c r="F11" s="104" t="e">
        <f>#REF!*#REF!</f>
        <v>#REF!</v>
      </c>
      <c r="G11" s="119">
        <f t="shared" si="1"/>
        <v>5586.2715967866188</v>
      </c>
      <c r="H11" s="112">
        <f>SUM(G11+J11)</f>
        <v>8616.456869153737</v>
      </c>
      <c r="I11" s="113">
        <f t="shared" si="2"/>
        <v>11359.033784527348</v>
      </c>
      <c r="J11" s="118">
        <f>$J$15*E11</f>
        <v>3030.1852723671186</v>
      </c>
      <c r="K11" s="112"/>
      <c r="L11" s="114">
        <f t="shared" si="7"/>
        <v>174.80688786178058</v>
      </c>
      <c r="M11" s="113">
        <f t="shared" si="3"/>
        <v>5477.4817024320473</v>
      </c>
      <c r="N11" s="112">
        <f>G11+I11+M11</f>
        <v>22422.787083746014</v>
      </c>
      <c r="O11" s="80">
        <f>$O$15*E11</f>
        <v>3575.5291441986724</v>
      </c>
      <c r="P11" s="114">
        <v>9788</v>
      </c>
      <c r="Q11" s="115">
        <f t="shared" si="4"/>
        <v>3.5460427640874412E-2</v>
      </c>
      <c r="R11" s="113">
        <f t="shared" si="5"/>
        <v>2596.199749298979</v>
      </c>
      <c r="S11" s="114"/>
      <c r="T11" s="116">
        <f t="shared" si="6"/>
        <v>32210.787083746014</v>
      </c>
    </row>
    <row r="12" spans="1:22" x14ac:dyDescent="0.25">
      <c r="A12" s="101">
        <v>511</v>
      </c>
      <c r="B12" s="101" t="s">
        <v>8</v>
      </c>
      <c r="C12" s="102">
        <v>45000</v>
      </c>
      <c r="D12" s="103">
        <v>498</v>
      </c>
      <c r="E12" s="99">
        <f t="shared" si="0"/>
        <v>2.7401782766589635E-2</v>
      </c>
      <c r="F12" s="104" t="e">
        <f>#REF!*#REF!</f>
        <v>#REF!</v>
      </c>
      <c r="G12" s="119">
        <f t="shared" si="1"/>
        <v>4530.8847804555962</v>
      </c>
      <c r="H12" s="112">
        <f>SUM(G12+J12)</f>
        <v>6988.5920534829984</v>
      </c>
      <c r="I12" s="113">
        <f t="shared" si="2"/>
        <v>9213.0274017827669</v>
      </c>
      <c r="J12" s="118">
        <f>$J$15*E12</f>
        <v>2457.7072730274022</v>
      </c>
      <c r="K12" s="112"/>
      <c r="L12" s="114">
        <f t="shared" si="7"/>
        <v>141.78148233740509</v>
      </c>
      <c r="M12" s="113">
        <f t="shared" si="3"/>
        <v>4442.6480257510739</v>
      </c>
      <c r="N12" s="112">
        <f>G12+I12+M12</f>
        <v>18186.560207989438</v>
      </c>
      <c r="O12" s="80">
        <f>$O$15*E12</f>
        <v>2900.0220094640695</v>
      </c>
      <c r="P12" s="114">
        <v>9788</v>
      </c>
      <c r="Q12" s="115">
        <f t="shared" si="4"/>
        <v>3.5460427640874412E-2</v>
      </c>
      <c r="R12" s="113">
        <f t="shared" si="5"/>
        <v>2596.199749298979</v>
      </c>
      <c r="S12" s="114"/>
      <c r="T12" s="116">
        <f t="shared" si="6"/>
        <v>27974.560207989438</v>
      </c>
    </row>
    <row r="13" spans="1:22" x14ac:dyDescent="0.25">
      <c r="A13" s="101">
        <v>513</v>
      </c>
      <c r="B13" s="101" t="s">
        <v>11</v>
      </c>
      <c r="C13" s="102">
        <v>22500</v>
      </c>
      <c r="D13" s="103">
        <v>231</v>
      </c>
      <c r="E13" s="99">
        <f t="shared" si="0"/>
        <v>1.2710465500165071E-2</v>
      </c>
      <c r="F13" s="104" t="e">
        <f>#REF!*#REF!</f>
        <v>#REF!</v>
      </c>
      <c r="G13" s="119">
        <f t="shared" si="1"/>
        <v>2101.6754704522946</v>
      </c>
      <c r="H13" s="112">
        <f>SUM(G13+J13)</f>
        <v>3241.6963139650052</v>
      </c>
      <c r="I13" s="113">
        <f t="shared" si="2"/>
        <v>4273.5127104655003</v>
      </c>
      <c r="J13" s="118">
        <f>$J$15*E13</f>
        <v>1140.0208435127106</v>
      </c>
      <c r="K13" s="112"/>
      <c r="L13" s="114">
        <f t="shared" si="7"/>
        <v>65.766109276989113</v>
      </c>
      <c r="M13" s="113">
        <f t="shared" si="3"/>
        <v>2060.7463733905579</v>
      </c>
      <c r="N13" s="112">
        <f>G13+I13+M13</f>
        <v>8435.9345543083527</v>
      </c>
      <c r="O13" s="80">
        <f>$O$15*E13</f>
        <v>1345.1909321008034</v>
      </c>
      <c r="P13" s="114">
        <v>4894</v>
      </c>
      <c r="Q13" s="115">
        <f t="shared" si="4"/>
        <v>1.7730213820437206E-2</v>
      </c>
      <c r="R13" s="113">
        <f t="shared" si="5"/>
        <v>1298.0998746494895</v>
      </c>
      <c r="S13" s="114"/>
      <c r="T13" s="116">
        <f t="shared" si="6"/>
        <v>13329.934554308353</v>
      </c>
    </row>
    <row r="14" spans="1:22" x14ac:dyDescent="0.25">
      <c r="A14" s="101">
        <v>516</v>
      </c>
      <c r="B14" s="101" t="s">
        <v>12</v>
      </c>
      <c r="C14" s="102">
        <v>22500</v>
      </c>
      <c r="D14" s="103">
        <v>208</v>
      </c>
      <c r="E14" s="99">
        <f t="shared" si="0"/>
        <v>1.1444921316165951E-2</v>
      </c>
      <c r="F14" s="104" t="e">
        <f>#REF!*#REF!</f>
        <v>#REF!</v>
      </c>
      <c r="G14" s="119">
        <f t="shared" si="1"/>
        <v>1892.41773962804</v>
      </c>
      <c r="H14" s="112">
        <f>SUM(G14+J14)</f>
        <v>2918.9300143061519</v>
      </c>
      <c r="I14" s="113">
        <f t="shared" si="2"/>
        <v>3848.0114449213161</v>
      </c>
      <c r="J14" s="118">
        <f>$J$15*E14</f>
        <v>1026.5122746781117</v>
      </c>
      <c r="K14" s="112"/>
      <c r="L14" s="114">
        <f t="shared" si="7"/>
        <v>59.217968526466379</v>
      </c>
      <c r="M14" s="113">
        <f t="shared" si="3"/>
        <v>1855.563834048641</v>
      </c>
      <c r="N14" s="112">
        <f>G14+I14+M14</f>
        <v>7595.9930185979974</v>
      </c>
      <c r="O14" s="80">
        <f>$O$15*E14</f>
        <v>1211.2541726275631</v>
      </c>
      <c r="P14" s="114">
        <v>4894</v>
      </c>
      <c r="Q14" s="115">
        <f t="shared" si="4"/>
        <v>1.7730213820437206E-2</v>
      </c>
      <c r="R14" s="113">
        <f t="shared" si="5"/>
        <v>1298.0998746494895</v>
      </c>
      <c r="S14" s="114"/>
      <c r="T14" s="116">
        <f t="shared" si="6"/>
        <v>12489.993018597997</v>
      </c>
    </row>
    <row r="15" spans="1:22" x14ac:dyDescent="0.25">
      <c r="A15" s="105" t="s">
        <v>1</v>
      </c>
      <c r="B15" s="105"/>
      <c r="C15" s="106">
        <f>SUM(C3:C14)</f>
        <v>1269000</v>
      </c>
      <c r="D15" s="107">
        <f>SUM(D3:D14)</f>
        <v>18174</v>
      </c>
      <c r="E15" s="108">
        <f t="shared" ref="E15:F15" si="8">SUM(E3:E14)</f>
        <v>1</v>
      </c>
      <c r="F15" s="109" t="e">
        <f t="shared" si="8"/>
        <v>#REF!</v>
      </c>
      <c r="G15" s="110">
        <v>165350</v>
      </c>
      <c r="H15" s="87">
        <f>SUM(H3:H14)</f>
        <v>165350.00000000003</v>
      </c>
      <c r="I15" s="87">
        <v>336220</v>
      </c>
      <c r="J15" s="111">
        <f>86837.33+9070-6215.82</f>
        <v>89691.510000000009</v>
      </c>
      <c r="K15" s="87">
        <f>SUM(K3:K14)</f>
        <v>89691.51</v>
      </c>
      <c r="L15" s="39">
        <v>5174.17</v>
      </c>
      <c r="M15" s="87">
        <f>SUM(M3:M14)</f>
        <v>162129.89000000001</v>
      </c>
      <c r="N15" s="87">
        <f>SUM(N3:N14)</f>
        <v>663699.89</v>
      </c>
      <c r="O15" s="81">
        <f>100000+(35000/6)</f>
        <v>105833.33333333333</v>
      </c>
      <c r="P15" s="39">
        <f>SUM(P3:P14)</f>
        <v>276026</v>
      </c>
      <c r="Q15" s="117">
        <f>P15/$P$15</f>
        <v>1</v>
      </c>
      <c r="R15" s="39">
        <f>73214</f>
        <v>73214</v>
      </c>
      <c r="S15" s="39">
        <f>SUM(S3:S14)</f>
        <v>0</v>
      </c>
      <c r="T15" s="15">
        <f>SUM(T3:T14)</f>
        <v>939725.89</v>
      </c>
    </row>
    <row r="16" spans="1:22" ht="74.25" customHeight="1" x14ac:dyDescent="0.25">
      <c r="H16" s="89"/>
      <c r="I16" s="48" t="s">
        <v>47</v>
      </c>
      <c r="J16" s="74" t="s">
        <v>39</v>
      </c>
      <c r="K16" s="92"/>
      <c r="L16" s="91">
        <f>J15-J8-J6</f>
        <v>44747.051896665565</v>
      </c>
      <c r="M16" s="88"/>
      <c r="N16" s="88"/>
      <c r="O16" s="40" t="s">
        <v>31</v>
      </c>
      <c r="Q16" s="84"/>
      <c r="S16" s="127" t="s">
        <v>28</v>
      </c>
    </row>
    <row r="17" spans="8:14" x14ac:dyDescent="0.25">
      <c r="H17" s="38"/>
      <c r="J17" s="82"/>
      <c r="K17" s="38"/>
      <c r="M17" s="38"/>
      <c r="N17" s="82"/>
    </row>
    <row r="18" spans="8:14" x14ac:dyDescent="0.25">
      <c r="J18" s="93"/>
      <c r="N18" s="82"/>
    </row>
    <row r="19" spans="8:14" x14ac:dyDescent="0.25">
      <c r="N19" s="82"/>
    </row>
  </sheetData>
  <mergeCells count="4">
    <mergeCell ref="A1:B2"/>
    <mergeCell ref="D1:E1"/>
    <mergeCell ref="G1:I1"/>
    <mergeCell ref="J1:M1"/>
  </mergeCells>
  <pageMargins left="0.7" right="0.7" top="0.75" bottom="0.75" header="0.3" footer="0.3"/>
  <pageSetup scale="56" orientation="landscape" r:id="rId1"/>
  <headerFooter>
    <oddHeader>&amp;CCHIN/NC HMIS Jan-Jun 2015 Costs by CoC</oddHeader>
    <oddFooter>&amp;RCHIN Governance Committee 1.26.15</oddFooter>
  </headerFooter>
  <ignoredErrors>
    <ignoredError sqref="H8 H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zoomScaleNormal="100" workbookViewId="0">
      <selection activeCell="L16" sqref="L16"/>
    </sheetView>
  </sheetViews>
  <sheetFormatPr defaultRowHeight="15" x14ac:dyDescent="0.25"/>
  <cols>
    <col min="1" max="1" width="6.42578125" style="3" customWidth="1"/>
    <col min="2" max="2" width="12.28515625" style="3" customWidth="1"/>
    <col min="3" max="3" width="12.28515625" style="3" hidden="1" customWidth="1"/>
    <col min="4" max="4" width="9.140625" style="3" customWidth="1"/>
    <col min="5" max="5" width="8.42578125" style="3" customWidth="1"/>
    <col min="6" max="6" width="13" style="3" hidden="1" customWidth="1"/>
    <col min="7" max="7" width="16.42578125" style="3" hidden="1" customWidth="1"/>
    <col min="8" max="9" width="16.42578125" style="3" customWidth="1"/>
    <col min="10" max="10" width="15.28515625" style="3" hidden="1" customWidth="1"/>
    <col min="11" max="14" width="16.42578125" style="3" customWidth="1"/>
    <col min="15" max="15" width="16.42578125" style="3" hidden="1" customWidth="1"/>
    <col min="16" max="16" width="16.42578125" style="3" customWidth="1"/>
    <col min="17" max="17" width="6.28515625" style="3" hidden="1" customWidth="1"/>
    <col min="18" max="18" width="16.42578125" style="3" hidden="1" customWidth="1"/>
    <col min="19" max="19" width="16.42578125" style="3" customWidth="1"/>
    <col min="20" max="20" width="17" style="3" customWidth="1"/>
    <col min="21" max="21" width="9.140625" style="3"/>
    <col min="22" max="22" width="10" style="3" bestFit="1" customWidth="1"/>
    <col min="23" max="16384" width="9.140625" style="3"/>
  </cols>
  <sheetData>
    <row r="1" spans="1:22" ht="30" customHeight="1" x14ac:dyDescent="0.25">
      <c r="A1" s="68" t="s">
        <v>0</v>
      </c>
      <c r="B1" s="68"/>
      <c r="C1" s="17" t="s">
        <v>13</v>
      </c>
      <c r="D1" s="69" t="s">
        <v>18</v>
      </c>
      <c r="E1" s="71"/>
      <c r="F1" s="46"/>
      <c r="H1" s="94" t="s">
        <v>20</v>
      </c>
      <c r="I1" s="95"/>
      <c r="J1" s="76" t="s">
        <v>23</v>
      </c>
      <c r="K1" s="85"/>
      <c r="L1" s="85"/>
      <c r="M1" s="77"/>
      <c r="N1" s="46" t="s">
        <v>44</v>
      </c>
      <c r="O1" s="78" t="s">
        <v>23</v>
      </c>
      <c r="P1" s="27" t="s">
        <v>21</v>
      </c>
      <c r="Q1" s="27"/>
      <c r="R1" s="31" t="s">
        <v>42</v>
      </c>
      <c r="S1" s="31" t="s">
        <v>25</v>
      </c>
      <c r="T1" s="27" t="s">
        <v>27</v>
      </c>
    </row>
    <row r="2" spans="1:22" ht="45.75" customHeight="1" x14ac:dyDescent="0.25">
      <c r="A2" s="68"/>
      <c r="B2" s="68"/>
      <c r="C2" s="18"/>
      <c r="D2" s="20" t="s">
        <v>16</v>
      </c>
      <c r="E2" s="21" t="s">
        <v>17</v>
      </c>
      <c r="F2" s="14" t="s">
        <v>15</v>
      </c>
      <c r="G2" s="30" t="s">
        <v>19</v>
      </c>
      <c r="H2" s="30" t="s">
        <v>48</v>
      </c>
      <c r="I2" s="30" t="s">
        <v>43</v>
      </c>
      <c r="J2" s="30" t="s">
        <v>46</v>
      </c>
      <c r="K2" s="30" t="s">
        <v>49</v>
      </c>
      <c r="L2" s="30" t="s">
        <v>40</v>
      </c>
      <c r="M2" s="30" t="s">
        <v>41</v>
      </c>
      <c r="N2" s="30" t="s">
        <v>45</v>
      </c>
      <c r="O2" s="79" t="s">
        <v>24</v>
      </c>
      <c r="P2" s="30" t="s">
        <v>53</v>
      </c>
      <c r="Q2" s="29"/>
      <c r="R2" s="29"/>
      <c r="S2" s="29"/>
      <c r="T2" s="30" t="s">
        <v>45</v>
      </c>
    </row>
    <row r="3" spans="1:22" x14ac:dyDescent="0.25">
      <c r="A3" s="96">
        <v>500</v>
      </c>
      <c r="B3" s="96" t="s">
        <v>10</v>
      </c>
      <c r="C3" s="97">
        <v>117000</v>
      </c>
      <c r="D3" s="98">
        <v>1047</v>
      </c>
      <c r="E3" s="99">
        <f>D3/$D$15</f>
        <v>5.7609772202046883E-2</v>
      </c>
      <c r="F3" s="100" t="e">
        <f>#REF!*#REF!</f>
        <v>#REF!</v>
      </c>
      <c r="G3" s="119">
        <f>$G$15*E3</f>
        <v>9525.7758336084516</v>
      </c>
      <c r="H3" s="121">
        <f>SUM(G3+J3)</f>
        <v>14692.883293166062</v>
      </c>
      <c r="I3" s="113">
        <f>$I$15*E3</f>
        <v>19369.557609772204</v>
      </c>
      <c r="J3" s="118">
        <f>$J$15*E3</f>
        <v>5167.1074595576101</v>
      </c>
      <c r="K3" s="121"/>
      <c r="L3" s="113">
        <f>$L$15*E3</f>
        <v>298.0827550346649</v>
      </c>
      <c r="M3" s="113">
        <f>(L3*14)+K3</f>
        <v>4173.1585704853087</v>
      </c>
      <c r="N3" s="112">
        <f>H3+I3+M3</f>
        <v>38235.599473423572</v>
      </c>
      <c r="O3" s="80">
        <f>$O$15*E3</f>
        <v>6097.0342247166282</v>
      </c>
      <c r="P3" s="114">
        <v>25449</v>
      </c>
      <c r="Q3" s="115">
        <f>P3/$P$15</f>
        <v>9.219783643569808E-2</v>
      </c>
      <c r="R3" s="113">
        <f>Q3*$R$15</f>
        <v>6750.1723968031993</v>
      </c>
      <c r="S3" s="114"/>
      <c r="T3" s="124">
        <f>N3+P3+S3</f>
        <v>63684.599473423572</v>
      </c>
    </row>
    <row r="4" spans="1:22" x14ac:dyDescent="0.25">
      <c r="A4" s="101">
        <v>501</v>
      </c>
      <c r="B4" s="101" t="s">
        <v>9</v>
      </c>
      <c r="C4" s="102">
        <v>67500</v>
      </c>
      <c r="D4" s="103">
        <v>1138</v>
      </c>
      <c r="E4" s="99">
        <f t="shared" ref="E4:E14" si="0">D4/$D$15</f>
        <v>6.2616925277869481E-2</v>
      </c>
      <c r="F4" s="104" t="e">
        <f>#REF!*#REF!</f>
        <v>#REF!</v>
      </c>
      <c r="G4" s="119">
        <f t="shared" ref="G4:G14" si="1">$G$15*E4</f>
        <v>10353.70859469572</v>
      </c>
      <c r="H4" s="121">
        <f>SUM(G4+J4)</f>
        <v>15969.915174425005</v>
      </c>
      <c r="I4" s="113">
        <f>$I$15*E4</f>
        <v>21053.062616925276</v>
      </c>
      <c r="J4" s="118">
        <f>$J$15*E4</f>
        <v>5616.2065797292844</v>
      </c>
      <c r="K4" s="121"/>
      <c r="L4" s="113">
        <f>$L$15*E4</f>
        <v>323.99061626499395</v>
      </c>
      <c r="M4" s="113">
        <f t="shared" ref="M4:M14" si="2">(L4*14)+K4</f>
        <v>4535.868627709915</v>
      </c>
      <c r="N4" s="112">
        <f t="shared" ref="N4:N14" si="3">H4+I4+M4</f>
        <v>41558.846419060195</v>
      </c>
      <c r="O4" s="80">
        <f>$O$15*E4</f>
        <v>6626.9579252411868</v>
      </c>
      <c r="P4" s="114">
        <v>14682</v>
      </c>
      <c r="Q4" s="115">
        <f t="shared" ref="Q4:Q14" si="4">P4/$P$15</f>
        <v>5.3190641461311618E-2</v>
      </c>
      <c r="R4" s="113">
        <f t="shared" ref="R4:R14" si="5">Q4*$R$15</f>
        <v>3894.2996239484687</v>
      </c>
      <c r="S4" s="114"/>
      <c r="T4" s="124">
        <f t="shared" ref="T4:T14" si="6">N4+P4+S4</f>
        <v>56240.846419060195</v>
      </c>
    </row>
    <row r="5" spans="1:22" x14ac:dyDescent="0.25">
      <c r="A5" s="101">
        <v>502</v>
      </c>
      <c r="B5" s="101" t="s">
        <v>2</v>
      </c>
      <c r="C5" s="102">
        <v>67500</v>
      </c>
      <c r="D5" s="103">
        <v>1189</v>
      </c>
      <c r="E5" s="99">
        <f t="shared" si="0"/>
        <v>6.5423131946737101E-2</v>
      </c>
      <c r="F5" s="104" t="e">
        <f>#REF!*#REF!</f>
        <v>#REF!</v>
      </c>
      <c r="G5" s="119">
        <f t="shared" si="1"/>
        <v>10817.714867392981</v>
      </c>
      <c r="H5" s="121">
        <f>SUM(G5+J5)</f>
        <v>16685.61436062507</v>
      </c>
      <c r="I5" s="113">
        <f>$I$15*E5</f>
        <v>21996.56542313195</v>
      </c>
      <c r="J5" s="118">
        <f>$J$15*E5</f>
        <v>5867.8994932320911</v>
      </c>
      <c r="K5" s="121"/>
      <c r="L5" s="113">
        <f t="shared" ref="L5:L14" si="7">$L$15*E5</f>
        <v>338.51040662484871</v>
      </c>
      <c r="M5" s="113">
        <f t="shared" si="2"/>
        <v>4739.1456927478821</v>
      </c>
      <c r="N5" s="112">
        <f t="shared" si="3"/>
        <v>43421.325476504899</v>
      </c>
      <c r="O5" s="80">
        <f>$O$15*E5</f>
        <v>6923.948131029676</v>
      </c>
      <c r="P5" s="114">
        <v>14682</v>
      </c>
      <c r="Q5" s="115">
        <f t="shared" si="4"/>
        <v>5.3190641461311618E-2</v>
      </c>
      <c r="R5" s="113">
        <f t="shared" si="5"/>
        <v>3894.2996239484687</v>
      </c>
      <c r="S5" s="114"/>
      <c r="T5" s="124">
        <f t="shared" si="6"/>
        <v>58103.325476504899</v>
      </c>
    </row>
    <row r="6" spans="1:22" x14ac:dyDescent="0.25">
      <c r="A6" s="101">
        <v>503</v>
      </c>
      <c r="B6" s="101" t="s">
        <v>3</v>
      </c>
      <c r="C6" s="102">
        <v>288000</v>
      </c>
      <c r="D6" s="103">
        <v>5242</v>
      </c>
      <c r="E6" s="99">
        <f t="shared" si="0"/>
        <v>0.28843402663145151</v>
      </c>
      <c r="F6" s="104" t="e">
        <f>#REF!*#REF!</f>
        <v>#REF!</v>
      </c>
      <c r="G6" s="119">
        <f t="shared" si="1"/>
        <v>47692.56630351051</v>
      </c>
      <c r="H6" s="121">
        <f>SUM(G6+J6)-K6</f>
        <v>2945.5096874656156</v>
      </c>
      <c r="I6" s="113">
        <f>$I$15*E6</f>
        <v>96977.288434026632</v>
      </c>
      <c r="J6" s="118">
        <f>$J$15*E6</f>
        <v>25870.083383955101</v>
      </c>
      <c r="K6" s="121">
        <v>70617.14</v>
      </c>
      <c r="L6" s="113">
        <f t="shared" si="7"/>
        <v>1492.4066875756575</v>
      </c>
      <c r="M6" s="113">
        <f t="shared" si="2"/>
        <v>91510.833626059204</v>
      </c>
      <c r="N6" s="112">
        <f t="shared" si="3"/>
        <v>191433.63174755144</v>
      </c>
      <c r="O6" s="80">
        <f>$O$15*E6</f>
        <v>30525.93448516195</v>
      </c>
      <c r="P6" s="114">
        <v>62645</v>
      </c>
      <c r="Q6" s="115">
        <f t="shared" si="4"/>
        <v>0.2269532580264178</v>
      </c>
      <c r="R6" s="113">
        <f t="shared" si="5"/>
        <v>16616.155833146153</v>
      </c>
      <c r="S6" s="114"/>
      <c r="T6" s="124">
        <f t="shared" si="6"/>
        <v>254078.63174755144</v>
      </c>
    </row>
    <row r="7" spans="1:22" x14ac:dyDescent="0.25">
      <c r="A7" s="101">
        <v>504</v>
      </c>
      <c r="B7" s="101" t="s">
        <v>4</v>
      </c>
      <c r="C7" s="102">
        <v>117000</v>
      </c>
      <c r="D7" s="103">
        <v>1338</v>
      </c>
      <c r="E7" s="99">
        <f t="shared" si="0"/>
        <v>7.3621657312644431E-2</v>
      </c>
      <c r="F7" s="104" t="e">
        <f>#REF!*#REF!</f>
        <v>#REF!</v>
      </c>
      <c r="G7" s="119">
        <f t="shared" si="1"/>
        <v>12173.341036645757</v>
      </c>
      <c r="H7" s="121">
        <f>SUM(G7+J7)</f>
        <v>18776.57864971938</v>
      </c>
      <c r="I7" s="113">
        <f>$I$15*E7</f>
        <v>24753.07362165731</v>
      </c>
      <c r="J7" s="118">
        <f>$J$15*E7</f>
        <v>6603.237613073622</v>
      </c>
      <c r="K7" s="121"/>
      <c r="L7" s="113">
        <f t="shared" si="7"/>
        <v>380.93097061736546</v>
      </c>
      <c r="M7" s="113">
        <f t="shared" si="2"/>
        <v>5333.0335886431167</v>
      </c>
      <c r="N7" s="112">
        <f t="shared" si="3"/>
        <v>48862.685860019803</v>
      </c>
      <c r="O7" s="80">
        <f>$O$15*E7</f>
        <v>7791.6253989215356</v>
      </c>
      <c r="P7" s="114">
        <v>25449</v>
      </c>
      <c r="Q7" s="115">
        <f t="shared" si="4"/>
        <v>9.219783643569808E-2</v>
      </c>
      <c r="R7" s="113">
        <f t="shared" si="5"/>
        <v>6750.1723968031993</v>
      </c>
      <c r="S7" s="114"/>
      <c r="T7" s="124">
        <f t="shared" si="6"/>
        <v>74311.685860019803</v>
      </c>
    </row>
    <row r="8" spans="1:22" x14ac:dyDescent="0.25">
      <c r="A8" s="101">
        <v>505</v>
      </c>
      <c r="B8" s="101" t="s">
        <v>5</v>
      </c>
      <c r="C8" s="102">
        <v>252000</v>
      </c>
      <c r="D8" s="103">
        <v>3865</v>
      </c>
      <c r="E8" s="99">
        <f t="shared" si="0"/>
        <v>0.21266644657202596</v>
      </c>
      <c r="F8" s="104" t="e">
        <f>#REF!*#REF!</f>
        <v>#REF!</v>
      </c>
      <c r="G8" s="119">
        <f t="shared" si="1"/>
        <v>35164.396940684492</v>
      </c>
      <c r="H8" s="121">
        <f>SUM(G8+J8)-K8</f>
        <v>35164.401660063828</v>
      </c>
      <c r="I8" s="113">
        <f>$I$15*E8</f>
        <v>71502.712666446576</v>
      </c>
      <c r="J8" s="119">
        <f>$J$15*E8</f>
        <v>19074.374719379335</v>
      </c>
      <c r="K8" s="121">
        <v>19074.37</v>
      </c>
      <c r="L8" s="113">
        <f t="shared" si="7"/>
        <v>1100.3723478595796</v>
      </c>
      <c r="M8" s="113">
        <f t="shared" si="2"/>
        <v>34479.582870034115</v>
      </c>
      <c r="N8" s="112">
        <f t="shared" si="3"/>
        <v>141146.69719654453</v>
      </c>
      <c r="O8" s="80">
        <f>$O$15*E8</f>
        <v>22507.198928872745</v>
      </c>
      <c r="P8" s="114">
        <v>54814</v>
      </c>
      <c r="Q8" s="115">
        <f t="shared" si="4"/>
        <v>0.19858274220544442</v>
      </c>
      <c r="R8" s="113">
        <f t="shared" si="5"/>
        <v>14539.036887829408</v>
      </c>
      <c r="S8" s="114"/>
      <c r="T8" s="124">
        <f t="shared" si="6"/>
        <v>195960.69719654453</v>
      </c>
    </row>
    <row r="9" spans="1:22" x14ac:dyDescent="0.25">
      <c r="A9" s="101">
        <v>506</v>
      </c>
      <c r="B9" s="101" t="s">
        <v>14</v>
      </c>
      <c r="C9" s="102">
        <v>45000</v>
      </c>
      <c r="D9" s="103">
        <v>666</v>
      </c>
      <c r="E9" s="99">
        <f t="shared" si="0"/>
        <v>3.6645757675800597E-2</v>
      </c>
      <c r="F9" s="104" t="e">
        <f>#REF!*#REF!</f>
        <v>#REF!</v>
      </c>
      <c r="G9" s="119">
        <f t="shared" si="1"/>
        <v>6059.3760316936286</v>
      </c>
      <c r="H9" s="121">
        <f>SUM(G9+J9)</f>
        <v>9346.189372730274</v>
      </c>
      <c r="I9" s="113">
        <f>$I$15*E9</f>
        <v>12321.036645757677</v>
      </c>
      <c r="J9" s="118">
        <f>$J$15*E9</f>
        <v>3286.8133410366463</v>
      </c>
      <c r="K9" s="121"/>
      <c r="L9" s="113">
        <f t="shared" si="7"/>
        <v>189.61137999339718</v>
      </c>
      <c r="M9" s="113">
        <f t="shared" si="2"/>
        <v>2654.5593199075606</v>
      </c>
      <c r="N9" s="112">
        <f t="shared" si="3"/>
        <v>24321.785338395508</v>
      </c>
      <c r="O9" s="80">
        <f>$O$15*E9</f>
        <v>3878.3426873555632</v>
      </c>
      <c r="P9" s="114">
        <v>9788</v>
      </c>
      <c r="Q9" s="115">
        <f t="shared" si="4"/>
        <v>3.5460427640874412E-2</v>
      </c>
      <c r="R9" s="113">
        <f t="shared" si="5"/>
        <v>2596.199749298979</v>
      </c>
      <c r="S9" s="114"/>
      <c r="T9" s="124">
        <f t="shared" si="6"/>
        <v>34109.785338395508</v>
      </c>
    </row>
    <row r="10" spans="1:22" x14ac:dyDescent="0.25">
      <c r="A10" s="101">
        <v>507</v>
      </c>
      <c r="B10" s="101" t="s">
        <v>6</v>
      </c>
      <c r="C10" s="102">
        <v>180000</v>
      </c>
      <c r="D10" s="103">
        <v>2138</v>
      </c>
      <c r="E10" s="99">
        <f t="shared" si="0"/>
        <v>0.11764058545174425</v>
      </c>
      <c r="F10" s="104" t="e">
        <f>#REF!*#REF!</f>
        <v>#REF!</v>
      </c>
      <c r="G10" s="119">
        <f t="shared" si="1"/>
        <v>19451.870804445913</v>
      </c>
      <c r="H10" s="121">
        <f>SUM(G10+J10)</f>
        <v>30003.232550896886</v>
      </c>
      <c r="I10" s="113">
        <f>$I$15*E10</f>
        <v>39553.117640585449</v>
      </c>
      <c r="J10" s="118">
        <f>$J$15*E10</f>
        <v>10551.361746450975</v>
      </c>
      <c r="K10" s="121"/>
      <c r="L10" s="113">
        <f t="shared" si="7"/>
        <v>608.69238802685152</v>
      </c>
      <c r="M10" s="113">
        <f t="shared" si="2"/>
        <v>8521.6934323759215</v>
      </c>
      <c r="N10" s="112">
        <f t="shared" si="3"/>
        <v>78078.043623858262</v>
      </c>
      <c r="O10" s="80">
        <f>$O$15*E10</f>
        <v>12450.295293642932</v>
      </c>
      <c r="P10" s="114">
        <v>39153</v>
      </c>
      <c r="Q10" s="115">
        <f t="shared" si="4"/>
        <v>0.14184533341062075</v>
      </c>
      <c r="R10" s="113">
        <f t="shared" si="5"/>
        <v>10385.064240325188</v>
      </c>
      <c r="S10" s="114"/>
      <c r="T10" s="124">
        <f t="shared" si="6"/>
        <v>117231.04362385826</v>
      </c>
      <c r="V10" s="38"/>
    </row>
    <row r="11" spans="1:22" x14ac:dyDescent="0.25">
      <c r="A11" s="101">
        <v>509</v>
      </c>
      <c r="B11" s="101" t="s">
        <v>7</v>
      </c>
      <c r="C11" s="102">
        <v>45000</v>
      </c>
      <c r="D11" s="103">
        <v>614</v>
      </c>
      <c r="E11" s="99">
        <f t="shared" si="0"/>
        <v>3.3784527346759109E-2</v>
      </c>
      <c r="F11" s="104" t="e">
        <f>#REF!*#REF!</f>
        <v>#REF!</v>
      </c>
      <c r="G11" s="119">
        <f t="shared" si="1"/>
        <v>5586.2715967866188</v>
      </c>
      <c r="H11" s="121">
        <f>SUM(G11+J11)</f>
        <v>8616.456869153737</v>
      </c>
      <c r="I11" s="113">
        <f>$I$15*E11</f>
        <v>11359.033784527348</v>
      </c>
      <c r="J11" s="118">
        <f>$J$15*E11</f>
        <v>3030.1852723671186</v>
      </c>
      <c r="K11" s="121"/>
      <c r="L11" s="113">
        <f t="shared" si="7"/>
        <v>174.80688786178058</v>
      </c>
      <c r="M11" s="113">
        <f t="shared" si="2"/>
        <v>2447.2964300649282</v>
      </c>
      <c r="N11" s="112">
        <f t="shared" si="3"/>
        <v>22422.787083746014</v>
      </c>
      <c r="O11" s="80">
        <f>$O$15*E11</f>
        <v>3575.5291441986724</v>
      </c>
      <c r="P11" s="114">
        <v>9788</v>
      </c>
      <c r="Q11" s="115">
        <f t="shared" si="4"/>
        <v>3.5460427640874412E-2</v>
      </c>
      <c r="R11" s="113">
        <f t="shared" si="5"/>
        <v>2596.199749298979</v>
      </c>
      <c r="S11" s="114"/>
      <c r="T11" s="124">
        <f t="shared" si="6"/>
        <v>32210.787083746014</v>
      </c>
    </row>
    <row r="12" spans="1:22" x14ac:dyDescent="0.25">
      <c r="A12" s="101">
        <v>511</v>
      </c>
      <c r="B12" s="101" t="s">
        <v>8</v>
      </c>
      <c r="C12" s="102">
        <v>45000</v>
      </c>
      <c r="D12" s="103">
        <v>498</v>
      </c>
      <c r="E12" s="99">
        <f t="shared" si="0"/>
        <v>2.7401782766589635E-2</v>
      </c>
      <c r="F12" s="104" t="e">
        <f>#REF!*#REF!</f>
        <v>#REF!</v>
      </c>
      <c r="G12" s="119">
        <f t="shared" si="1"/>
        <v>4530.8847804555962</v>
      </c>
      <c r="H12" s="121">
        <f>SUM(G12+J12)</f>
        <v>6988.5920534829984</v>
      </c>
      <c r="I12" s="113">
        <f>$I$15*E12</f>
        <v>9213.0274017827669</v>
      </c>
      <c r="J12" s="118">
        <f>$J$15*E12</f>
        <v>2457.7072730274022</v>
      </c>
      <c r="K12" s="121"/>
      <c r="L12" s="113">
        <f t="shared" si="7"/>
        <v>141.78148233740509</v>
      </c>
      <c r="M12" s="113">
        <f t="shared" si="2"/>
        <v>1984.9407527236713</v>
      </c>
      <c r="N12" s="112">
        <f t="shared" si="3"/>
        <v>18186.560207989438</v>
      </c>
      <c r="O12" s="80">
        <f>$O$15*E12</f>
        <v>2900.0220094640695</v>
      </c>
      <c r="P12" s="114">
        <v>9788</v>
      </c>
      <c r="Q12" s="115">
        <f t="shared" si="4"/>
        <v>3.5460427640874412E-2</v>
      </c>
      <c r="R12" s="113">
        <f t="shared" si="5"/>
        <v>2596.199749298979</v>
      </c>
      <c r="S12" s="114"/>
      <c r="T12" s="124">
        <f t="shared" si="6"/>
        <v>27974.560207989438</v>
      </c>
    </row>
    <row r="13" spans="1:22" x14ac:dyDescent="0.25">
      <c r="A13" s="101">
        <v>513</v>
      </c>
      <c r="B13" s="101" t="s">
        <v>11</v>
      </c>
      <c r="C13" s="102">
        <v>22500</v>
      </c>
      <c r="D13" s="103">
        <v>231</v>
      </c>
      <c r="E13" s="99">
        <f t="shared" si="0"/>
        <v>1.2710465500165071E-2</v>
      </c>
      <c r="F13" s="104" t="e">
        <f>#REF!*#REF!</f>
        <v>#REF!</v>
      </c>
      <c r="G13" s="119">
        <f t="shared" si="1"/>
        <v>2101.6754704522946</v>
      </c>
      <c r="H13" s="121">
        <f>SUM(G13+J13)</f>
        <v>3241.6963139650052</v>
      </c>
      <c r="I13" s="113">
        <f>$I$15*E13</f>
        <v>4273.5127104655003</v>
      </c>
      <c r="J13" s="118">
        <f>$J$15*E13</f>
        <v>1140.0208435127106</v>
      </c>
      <c r="K13" s="121"/>
      <c r="L13" s="113">
        <f t="shared" si="7"/>
        <v>65.766109276989113</v>
      </c>
      <c r="M13" s="113">
        <f t="shared" si="2"/>
        <v>920.72552987784752</v>
      </c>
      <c r="N13" s="112">
        <f t="shared" si="3"/>
        <v>8435.9345543083527</v>
      </c>
      <c r="O13" s="80">
        <f>$O$15*E13</f>
        <v>1345.1909321008034</v>
      </c>
      <c r="P13" s="114">
        <v>4894</v>
      </c>
      <c r="Q13" s="115">
        <f t="shared" si="4"/>
        <v>1.7730213820437206E-2</v>
      </c>
      <c r="R13" s="113">
        <f t="shared" si="5"/>
        <v>1298.0998746494895</v>
      </c>
      <c r="S13" s="114"/>
      <c r="T13" s="124">
        <f t="shared" si="6"/>
        <v>13329.934554308353</v>
      </c>
    </row>
    <row r="14" spans="1:22" x14ac:dyDescent="0.25">
      <c r="A14" s="101">
        <v>516</v>
      </c>
      <c r="B14" s="101" t="s">
        <v>12</v>
      </c>
      <c r="C14" s="102">
        <v>22500</v>
      </c>
      <c r="D14" s="103">
        <v>208</v>
      </c>
      <c r="E14" s="99">
        <f t="shared" si="0"/>
        <v>1.1444921316165951E-2</v>
      </c>
      <c r="F14" s="104" t="e">
        <f>#REF!*#REF!</f>
        <v>#REF!</v>
      </c>
      <c r="G14" s="119">
        <f t="shared" si="1"/>
        <v>1892.41773962804</v>
      </c>
      <c r="H14" s="121">
        <f>SUM(G14+J14)</f>
        <v>2918.9300143061519</v>
      </c>
      <c r="I14" s="113">
        <f>$I$15*E14</f>
        <v>3848.0114449213161</v>
      </c>
      <c r="J14" s="118">
        <f>$J$15*E14</f>
        <v>1026.5122746781117</v>
      </c>
      <c r="K14" s="121"/>
      <c r="L14" s="113">
        <f t="shared" si="7"/>
        <v>59.217968526466379</v>
      </c>
      <c r="M14" s="113">
        <f t="shared" si="2"/>
        <v>829.05155937052928</v>
      </c>
      <c r="N14" s="112">
        <f t="shared" si="3"/>
        <v>7595.9930185979974</v>
      </c>
      <c r="O14" s="80">
        <f>$O$15*E14</f>
        <v>1211.2541726275631</v>
      </c>
      <c r="P14" s="114">
        <v>4894</v>
      </c>
      <c r="Q14" s="115">
        <f t="shared" si="4"/>
        <v>1.7730213820437206E-2</v>
      </c>
      <c r="R14" s="113">
        <f t="shared" si="5"/>
        <v>1298.0998746494895</v>
      </c>
      <c r="S14" s="114"/>
      <c r="T14" s="124">
        <f t="shared" si="6"/>
        <v>12489.993018597997</v>
      </c>
    </row>
    <row r="15" spans="1:22" x14ac:dyDescent="0.25">
      <c r="A15" s="105" t="s">
        <v>1</v>
      </c>
      <c r="B15" s="105"/>
      <c r="C15" s="106">
        <f>SUM(C3:C14)</f>
        <v>1269000</v>
      </c>
      <c r="D15" s="107">
        <f>SUM(D3:D14)</f>
        <v>18174</v>
      </c>
      <c r="E15" s="108">
        <f t="shared" ref="E15:F15" si="8">SUM(E3:E14)</f>
        <v>1</v>
      </c>
      <c r="F15" s="109" t="e">
        <f t="shared" si="8"/>
        <v>#REF!</v>
      </c>
      <c r="G15" s="110">
        <v>165350</v>
      </c>
      <c r="H15" s="87">
        <f>SUM(H3:H14)</f>
        <v>165350.00000000003</v>
      </c>
      <c r="I15" s="87">
        <v>336220</v>
      </c>
      <c r="J15" s="111">
        <f>86837.33+9070-6215.82</f>
        <v>89691.510000000009</v>
      </c>
      <c r="K15" s="87">
        <f>SUM(K3:K14)</f>
        <v>89691.51</v>
      </c>
      <c r="L15" s="87">
        <v>5174.17</v>
      </c>
      <c r="M15" s="87">
        <f>SUM(M3:M14)</f>
        <v>162129.89000000001</v>
      </c>
      <c r="N15" s="87">
        <f>SUM(N3:N14)</f>
        <v>663699.8899999999</v>
      </c>
      <c r="O15" s="81">
        <f>100000+(35000/6)</f>
        <v>105833.33333333333</v>
      </c>
      <c r="P15" s="39">
        <f>SUM(P3:P14)</f>
        <v>276026</v>
      </c>
      <c r="Q15" s="117">
        <f>P15/$P$15</f>
        <v>1</v>
      </c>
      <c r="R15" s="39">
        <f>73214</f>
        <v>73214</v>
      </c>
      <c r="S15" s="39">
        <f>SUM(S3:S14)</f>
        <v>0</v>
      </c>
      <c r="T15" s="125">
        <f>SUM(T3:T14)</f>
        <v>939725.8899999999</v>
      </c>
    </row>
    <row r="16" spans="1:22" ht="66.75" customHeight="1" x14ac:dyDescent="0.25">
      <c r="H16" s="89"/>
      <c r="I16" s="48" t="s">
        <v>47</v>
      </c>
      <c r="J16" s="74" t="s">
        <v>39</v>
      </c>
      <c r="K16" s="74" t="s">
        <v>39</v>
      </c>
      <c r="L16" s="88"/>
      <c r="M16" s="88"/>
      <c r="N16" s="88"/>
      <c r="O16" s="40" t="s">
        <v>31</v>
      </c>
      <c r="Q16" s="84"/>
      <c r="S16" s="127" t="s">
        <v>28</v>
      </c>
    </row>
    <row r="17" spans="8:14" x14ac:dyDescent="0.25">
      <c r="H17" s="38"/>
      <c r="J17" s="82"/>
      <c r="K17" s="38"/>
      <c r="M17" s="38"/>
      <c r="N17" s="82"/>
    </row>
    <row r="18" spans="8:14" x14ac:dyDescent="0.25">
      <c r="J18" s="93"/>
      <c r="N18" s="82"/>
    </row>
    <row r="19" spans="8:14" x14ac:dyDescent="0.25">
      <c r="N19" s="82"/>
    </row>
  </sheetData>
  <mergeCells count="4">
    <mergeCell ref="A1:B2"/>
    <mergeCell ref="D1:E1"/>
    <mergeCell ref="J1:M1"/>
    <mergeCell ref="H1:I1"/>
  </mergeCells>
  <pageMargins left="0.7" right="0.7" top="0.75" bottom="0.75" header="0.3" footer="0.3"/>
  <pageSetup scale="66" orientation="landscape" r:id="rId1"/>
  <headerFooter>
    <oddHeader>&amp;CCHIN/NC HMIS Jan-Jun 2015 Costs by CoC</oddHeader>
    <oddFooter>&amp;RCHIN Governance Committee 1.26.15</oddFooter>
  </headerFooter>
  <ignoredErrors>
    <ignoredError sqref="H8 H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zoomScaleNormal="100" workbookViewId="0">
      <selection activeCell="B16" sqref="B16"/>
    </sheetView>
  </sheetViews>
  <sheetFormatPr defaultRowHeight="15" x14ac:dyDescent="0.25"/>
  <cols>
    <col min="1" max="1" width="9.140625" style="3"/>
    <col min="2" max="2" width="12.28515625" style="3" customWidth="1"/>
    <col min="3" max="3" width="12.28515625" style="3" hidden="1" customWidth="1"/>
    <col min="4" max="4" width="11.7109375" style="3" customWidth="1"/>
    <col min="5" max="5" width="12.5703125" style="3" customWidth="1"/>
    <col min="6" max="6" width="13" style="3" hidden="1" customWidth="1"/>
    <col min="7" max="10" width="16.42578125" style="3" customWidth="1"/>
    <col min="11" max="11" width="17" style="3" customWidth="1"/>
    <col min="12" max="12" width="9.140625" style="3"/>
    <col min="13" max="13" width="10" style="3" bestFit="1" customWidth="1"/>
    <col min="14" max="16384" width="9.140625" style="3"/>
  </cols>
  <sheetData>
    <row r="1" spans="1:13" ht="30" customHeight="1" x14ac:dyDescent="0.25">
      <c r="A1" s="68" t="s">
        <v>0</v>
      </c>
      <c r="B1" s="68"/>
      <c r="C1" s="17" t="s">
        <v>13</v>
      </c>
      <c r="D1" s="69" t="s">
        <v>18</v>
      </c>
      <c r="E1" s="71"/>
      <c r="F1" s="46"/>
      <c r="G1" s="27" t="s">
        <v>20</v>
      </c>
      <c r="H1" s="27" t="s">
        <v>23</v>
      </c>
      <c r="I1" s="27" t="s">
        <v>21</v>
      </c>
      <c r="J1" s="31" t="s">
        <v>25</v>
      </c>
      <c r="K1" s="27" t="s">
        <v>27</v>
      </c>
    </row>
    <row r="2" spans="1:13" ht="30" customHeight="1" x14ac:dyDescent="0.25">
      <c r="A2" s="68"/>
      <c r="B2" s="68"/>
      <c r="C2" s="18"/>
      <c r="D2" s="20" t="s">
        <v>16</v>
      </c>
      <c r="E2" s="21" t="s">
        <v>17</v>
      </c>
      <c r="F2" s="14" t="s">
        <v>15</v>
      </c>
      <c r="G2" s="30" t="s">
        <v>19</v>
      </c>
      <c r="H2" s="30" t="s">
        <v>24</v>
      </c>
      <c r="I2" s="29" t="s">
        <v>22</v>
      </c>
      <c r="J2" s="29" t="s">
        <v>26</v>
      </c>
      <c r="K2" s="29" t="s">
        <v>26</v>
      </c>
    </row>
    <row r="3" spans="1:13" x14ac:dyDescent="0.25">
      <c r="A3" s="11">
        <v>500</v>
      </c>
      <c r="B3" s="11" t="s">
        <v>10</v>
      </c>
      <c r="C3" s="4">
        <v>117000</v>
      </c>
      <c r="D3" s="34">
        <v>1047</v>
      </c>
      <c r="E3" s="35">
        <f>D3/$D$15</f>
        <v>5.7609772202046883E-2</v>
      </c>
      <c r="F3" s="5" t="e">
        <f>#REF!*#REF!</f>
        <v>#REF!</v>
      </c>
      <c r="G3" s="28">
        <f>$G$15*E3</f>
        <v>9525.7758336084516</v>
      </c>
      <c r="H3" s="28">
        <f>$H$15*E3</f>
        <v>6097.0342247166282</v>
      </c>
      <c r="I3" s="28">
        <v>25449</v>
      </c>
      <c r="J3" s="28"/>
      <c r="K3" s="37">
        <f>SUM(G3+H3+I3+J3)</f>
        <v>41071.810058325078</v>
      </c>
    </row>
    <row r="4" spans="1:13" x14ac:dyDescent="0.25">
      <c r="A4" s="12">
        <v>501</v>
      </c>
      <c r="B4" s="12" t="s">
        <v>9</v>
      </c>
      <c r="C4" s="1">
        <v>67500</v>
      </c>
      <c r="D4" s="36">
        <v>1138</v>
      </c>
      <c r="E4" s="35">
        <f t="shared" ref="E4:E14" si="0">D4/$D$15</f>
        <v>6.2616925277869481E-2</v>
      </c>
      <c r="F4" s="2" t="e">
        <f>#REF!*#REF!</f>
        <v>#REF!</v>
      </c>
      <c r="G4" s="28">
        <f t="shared" ref="G4:G14" si="1">$G$15*E4</f>
        <v>10353.70859469572</v>
      </c>
      <c r="H4" s="28">
        <f t="shared" ref="H4:H14" si="2">$H$15*E4</f>
        <v>6626.9579252411868</v>
      </c>
      <c r="I4" s="28">
        <v>14682</v>
      </c>
      <c r="J4" s="28"/>
      <c r="K4" s="37">
        <f t="shared" ref="K4:K14" si="3">SUM(G4+H4+I4+J4)</f>
        <v>31662.666519936905</v>
      </c>
    </row>
    <row r="5" spans="1:13" x14ac:dyDescent="0.25">
      <c r="A5" s="12">
        <v>502</v>
      </c>
      <c r="B5" s="12" t="s">
        <v>2</v>
      </c>
      <c r="C5" s="1">
        <v>67500</v>
      </c>
      <c r="D5" s="36">
        <v>1189</v>
      </c>
      <c r="E5" s="35">
        <f t="shared" si="0"/>
        <v>6.5423131946737101E-2</v>
      </c>
      <c r="F5" s="2" t="e">
        <f>#REF!*#REF!</f>
        <v>#REF!</v>
      </c>
      <c r="G5" s="28">
        <f t="shared" si="1"/>
        <v>10817.714867392981</v>
      </c>
      <c r="H5" s="28">
        <f t="shared" si="2"/>
        <v>6923.948131029676</v>
      </c>
      <c r="I5" s="28">
        <v>14682</v>
      </c>
      <c r="J5" s="28"/>
      <c r="K5" s="37">
        <f t="shared" si="3"/>
        <v>32423.662998422657</v>
      </c>
    </row>
    <row r="6" spans="1:13" x14ac:dyDescent="0.25">
      <c r="A6" s="12">
        <v>503</v>
      </c>
      <c r="B6" s="12" t="s">
        <v>3</v>
      </c>
      <c r="C6" s="1">
        <v>288000</v>
      </c>
      <c r="D6" s="36">
        <v>5242</v>
      </c>
      <c r="E6" s="35">
        <f t="shared" si="0"/>
        <v>0.28843402663145151</v>
      </c>
      <c r="F6" s="2" t="e">
        <f>#REF!*#REF!</f>
        <v>#REF!</v>
      </c>
      <c r="G6" s="28">
        <f t="shared" si="1"/>
        <v>47692.56630351051</v>
      </c>
      <c r="H6" s="28">
        <f t="shared" si="2"/>
        <v>30525.93448516195</v>
      </c>
      <c r="I6" s="28">
        <v>62645</v>
      </c>
      <c r="J6" s="28"/>
      <c r="K6" s="37">
        <f t="shared" si="3"/>
        <v>140863.50078867248</v>
      </c>
    </row>
    <row r="7" spans="1:13" x14ac:dyDescent="0.25">
      <c r="A7" s="12">
        <v>504</v>
      </c>
      <c r="B7" s="12" t="s">
        <v>4</v>
      </c>
      <c r="C7" s="1">
        <v>117000</v>
      </c>
      <c r="D7" s="36">
        <v>1338</v>
      </c>
      <c r="E7" s="35">
        <f t="shared" si="0"/>
        <v>7.3621657312644431E-2</v>
      </c>
      <c r="F7" s="2" t="e">
        <f>#REF!*#REF!</f>
        <v>#REF!</v>
      </c>
      <c r="G7" s="28">
        <f t="shared" si="1"/>
        <v>12173.341036645757</v>
      </c>
      <c r="H7" s="28">
        <f t="shared" si="2"/>
        <v>7791.6253989215356</v>
      </c>
      <c r="I7" s="28">
        <v>25449</v>
      </c>
      <c r="J7" s="28"/>
      <c r="K7" s="37">
        <f t="shared" si="3"/>
        <v>45413.966435567294</v>
      </c>
    </row>
    <row r="8" spans="1:13" x14ac:dyDescent="0.25">
      <c r="A8" s="12">
        <v>505</v>
      </c>
      <c r="B8" s="12" t="s">
        <v>5</v>
      </c>
      <c r="C8" s="1">
        <v>252000</v>
      </c>
      <c r="D8" s="36">
        <v>3865</v>
      </c>
      <c r="E8" s="35">
        <f t="shared" si="0"/>
        <v>0.21266644657202596</v>
      </c>
      <c r="F8" s="2" t="e">
        <f>#REF!*#REF!</f>
        <v>#REF!</v>
      </c>
      <c r="G8" s="28">
        <f t="shared" si="1"/>
        <v>35164.396940684492</v>
      </c>
      <c r="H8" s="28">
        <f t="shared" si="2"/>
        <v>22507.198928872745</v>
      </c>
      <c r="I8" s="28">
        <v>54814</v>
      </c>
      <c r="J8" s="28"/>
      <c r="K8" s="37">
        <f t="shared" si="3"/>
        <v>112485.59586955723</v>
      </c>
    </row>
    <row r="9" spans="1:13" x14ac:dyDescent="0.25">
      <c r="A9" s="12">
        <v>506</v>
      </c>
      <c r="B9" s="12" t="s">
        <v>14</v>
      </c>
      <c r="C9" s="1">
        <v>45000</v>
      </c>
      <c r="D9" s="36">
        <v>666</v>
      </c>
      <c r="E9" s="35">
        <f t="shared" si="0"/>
        <v>3.6645757675800597E-2</v>
      </c>
      <c r="F9" s="2" t="e">
        <f>#REF!*#REF!</f>
        <v>#REF!</v>
      </c>
      <c r="G9" s="28">
        <f t="shared" si="1"/>
        <v>6059.3760316936286</v>
      </c>
      <c r="H9" s="28">
        <f t="shared" si="2"/>
        <v>3878.3426873555632</v>
      </c>
      <c r="I9" s="28">
        <v>9788</v>
      </c>
      <c r="J9" s="28"/>
      <c r="K9" s="37">
        <f t="shared" si="3"/>
        <v>19725.71871904919</v>
      </c>
    </row>
    <row r="10" spans="1:13" x14ac:dyDescent="0.25">
      <c r="A10" s="12">
        <v>507</v>
      </c>
      <c r="B10" s="12" t="s">
        <v>6</v>
      </c>
      <c r="C10" s="1">
        <v>180000</v>
      </c>
      <c r="D10" s="36">
        <v>2138</v>
      </c>
      <c r="E10" s="35">
        <f t="shared" si="0"/>
        <v>0.11764058545174425</v>
      </c>
      <c r="F10" s="2" t="e">
        <f>#REF!*#REF!</f>
        <v>#REF!</v>
      </c>
      <c r="G10" s="28">
        <f t="shared" si="1"/>
        <v>19451.870804445913</v>
      </c>
      <c r="H10" s="28">
        <f t="shared" si="2"/>
        <v>12450.295293642932</v>
      </c>
      <c r="I10" s="28">
        <v>39153</v>
      </c>
      <c r="J10" s="28"/>
      <c r="K10" s="37">
        <f t="shared" si="3"/>
        <v>71055.166098088841</v>
      </c>
      <c r="M10" s="38"/>
    </row>
    <row r="11" spans="1:13" x14ac:dyDescent="0.25">
      <c r="A11" s="12">
        <v>509</v>
      </c>
      <c r="B11" s="12" t="s">
        <v>7</v>
      </c>
      <c r="C11" s="1">
        <v>45000</v>
      </c>
      <c r="D11" s="36">
        <v>614</v>
      </c>
      <c r="E11" s="35">
        <f t="shared" si="0"/>
        <v>3.3784527346759109E-2</v>
      </c>
      <c r="F11" s="2" t="e">
        <f>#REF!*#REF!</f>
        <v>#REF!</v>
      </c>
      <c r="G11" s="28">
        <f t="shared" si="1"/>
        <v>5586.2715967866188</v>
      </c>
      <c r="H11" s="28">
        <f t="shared" si="2"/>
        <v>3575.5291441986724</v>
      </c>
      <c r="I11" s="28">
        <v>9788</v>
      </c>
      <c r="J11" s="28"/>
      <c r="K11" s="37">
        <f t="shared" si="3"/>
        <v>18949.800740985291</v>
      </c>
    </row>
    <row r="12" spans="1:13" x14ac:dyDescent="0.25">
      <c r="A12" s="12">
        <v>511</v>
      </c>
      <c r="B12" s="12" t="s">
        <v>8</v>
      </c>
      <c r="C12" s="1">
        <v>45000</v>
      </c>
      <c r="D12" s="36">
        <v>498</v>
      </c>
      <c r="E12" s="35">
        <f t="shared" si="0"/>
        <v>2.7401782766589635E-2</v>
      </c>
      <c r="F12" s="2" t="e">
        <f>#REF!*#REF!</f>
        <v>#REF!</v>
      </c>
      <c r="G12" s="28">
        <f t="shared" si="1"/>
        <v>4530.8847804555962</v>
      </c>
      <c r="H12" s="28">
        <f t="shared" si="2"/>
        <v>2900.0220094640695</v>
      </c>
      <c r="I12" s="28">
        <v>9788</v>
      </c>
      <c r="J12" s="28"/>
      <c r="K12" s="37">
        <f t="shared" si="3"/>
        <v>17218.906789919667</v>
      </c>
    </row>
    <row r="13" spans="1:13" x14ac:dyDescent="0.25">
      <c r="A13" s="12">
        <v>513</v>
      </c>
      <c r="B13" s="12" t="s">
        <v>11</v>
      </c>
      <c r="C13" s="1">
        <v>22500</v>
      </c>
      <c r="D13" s="36">
        <v>231</v>
      </c>
      <c r="E13" s="35">
        <f t="shared" si="0"/>
        <v>1.2710465500165071E-2</v>
      </c>
      <c r="F13" s="2" t="e">
        <f>#REF!*#REF!</f>
        <v>#REF!</v>
      </c>
      <c r="G13" s="28">
        <f t="shared" si="1"/>
        <v>2101.6754704522946</v>
      </c>
      <c r="H13" s="28">
        <f t="shared" si="2"/>
        <v>1345.1909321008034</v>
      </c>
      <c r="I13" s="28">
        <v>4894</v>
      </c>
      <c r="J13" s="28"/>
      <c r="K13" s="37">
        <f t="shared" si="3"/>
        <v>8340.8664025530979</v>
      </c>
    </row>
    <row r="14" spans="1:13" x14ac:dyDescent="0.25">
      <c r="A14" s="12">
        <v>516</v>
      </c>
      <c r="B14" s="12" t="s">
        <v>12</v>
      </c>
      <c r="C14" s="1">
        <v>22500</v>
      </c>
      <c r="D14" s="36">
        <v>208</v>
      </c>
      <c r="E14" s="35">
        <f t="shared" si="0"/>
        <v>1.1444921316165951E-2</v>
      </c>
      <c r="F14" s="2" t="e">
        <f>#REF!*#REF!</f>
        <v>#REF!</v>
      </c>
      <c r="G14" s="28">
        <f t="shared" si="1"/>
        <v>1892.41773962804</v>
      </c>
      <c r="H14" s="28">
        <f t="shared" si="2"/>
        <v>1211.2541726275631</v>
      </c>
      <c r="I14" s="28">
        <v>4894</v>
      </c>
      <c r="J14" s="28"/>
      <c r="K14" s="37">
        <f t="shared" si="3"/>
        <v>7997.6719122556033</v>
      </c>
    </row>
    <row r="15" spans="1:13" x14ac:dyDescent="0.25">
      <c r="A15" s="45" t="s">
        <v>1</v>
      </c>
      <c r="B15" s="45"/>
      <c r="C15" s="7">
        <f>SUM(C3:C14)</f>
        <v>1269000</v>
      </c>
      <c r="D15" s="26">
        <f>SUM(D3:D14)</f>
        <v>18174</v>
      </c>
      <c r="E15" s="9">
        <f t="shared" ref="E15:F15" si="4">SUM(E3:E14)</f>
        <v>1</v>
      </c>
      <c r="F15" s="10" t="e">
        <f t="shared" si="4"/>
        <v>#REF!</v>
      </c>
      <c r="G15" s="39">
        <v>165350</v>
      </c>
      <c r="H15" s="39">
        <f>100000+(35000/6)</f>
        <v>105833.33333333333</v>
      </c>
      <c r="I15" s="39">
        <f>SUM(I3:I14)</f>
        <v>276026</v>
      </c>
      <c r="J15" s="39">
        <f>SUM(J3:J14)</f>
        <v>0</v>
      </c>
      <c r="K15" s="15">
        <f>SUM(G15+H15+I15+J15)</f>
        <v>547209.33333333326</v>
      </c>
    </row>
    <row r="16" spans="1:13" ht="240.75" x14ac:dyDescent="0.25">
      <c r="H16" s="40" t="s">
        <v>31</v>
      </c>
      <c r="J16" s="41" t="s">
        <v>28</v>
      </c>
    </row>
  </sheetData>
  <mergeCells count="2">
    <mergeCell ref="A1:B2"/>
    <mergeCell ref="D1:E1"/>
  </mergeCells>
  <pageMargins left="0.7" right="0.7" top="0.75" bottom="0.75" header="0.3" footer="0.3"/>
  <pageSetup scale="95" orientation="landscape" r:id="rId1"/>
  <headerFooter>
    <oddHeader>&amp;CCHIN/NC HMIS Jan-Jun 2015 Costs by CoC</oddHeader>
    <oddFooter>&amp;RCHIN Governance Committee 1.26.15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showWhiteSpace="0" zoomScaleNormal="100" workbookViewId="0">
      <selection activeCell="M8" sqref="M8"/>
    </sheetView>
  </sheetViews>
  <sheetFormatPr defaultRowHeight="15" x14ac:dyDescent="0.25"/>
  <cols>
    <col min="1" max="1" width="9.140625" style="3"/>
    <col min="2" max="2" width="12.28515625" style="3" customWidth="1"/>
    <col min="3" max="3" width="12.28515625" style="3" hidden="1" customWidth="1"/>
    <col min="4" max="4" width="11.7109375" style="3" customWidth="1"/>
    <col min="5" max="5" width="8.7109375" style="3" customWidth="1"/>
    <col min="6" max="6" width="4" style="3" customWidth="1"/>
    <col min="7" max="7" width="13" style="3" customWidth="1"/>
    <col min="8" max="8" width="3.85546875" style="3" customWidth="1"/>
    <col min="9" max="10" width="13" style="3" customWidth="1"/>
    <col min="11" max="11" width="14" style="3" customWidth="1"/>
    <col min="12" max="12" width="3.85546875" style="3" customWidth="1"/>
    <col min="13" max="13" width="16.42578125" style="3" customWidth="1"/>
    <col min="14" max="14" width="11.5703125" style="3" bestFit="1" customWidth="1"/>
    <col min="15" max="15" width="10" style="3" bestFit="1" customWidth="1"/>
    <col min="16" max="16384" width="9.140625" style="3"/>
  </cols>
  <sheetData>
    <row r="1" spans="1:15" ht="30" customHeight="1" x14ac:dyDescent="0.25">
      <c r="A1" s="68" t="s">
        <v>0</v>
      </c>
      <c r="B1" s="68"/>
      <c r="C1" s="17" t="s">
        <v>13</v>
      </c>
      <c r="D1" s="69" t="s">
        <v>18</v>
      </c>
      <c r="E1" s="70"/>
      <c r="F1" s="52"/>
      <c r="G1" s="44" t="s">
        <v>32</v>
      </c>
      <c r="H1" s="52"/>
      <c r="I1" s="43" t="s">
        <v>33</v>
      </c>
      <c r="J1" s="43" t="s">
        <v>34</v>
      </c>
      <c r="K1" s="44" t="s">
        <v>25</v>
      </c>
      <c r="L1" s="52"/>
      <c r="M1" s="43" t="s">
        <v>27</v>
      </c>
    </row>
    <row r="2" spans="1:15" ht="30" customHeight="1" x14ac:dyDescent="0.25">
      <c r="A2" s="68"/>
      <c r="B2" s="68"/>
      <c r="C2" s="18"/>
      <c r="D2" s="57" t="s">
        <v>16</v>
      </c>
      <c r="E2" s="58" t="s">
        <v>35</v>
      </c>
      <c r="F2" s="53"/>
      <c r="G2" s="59" t="s">
        <v>36</v>
      </c>
      <c r="H2" s="60"/>
      <c r="I2" s="61" t="s">
        <v>36</v>
      </c>
      <c r="J2" s="61" t="s">
        <v>36</v>
      </c>
      <c r="K2" s="51" t="s">
        <v>36</v>
      </c>
      <c r="L2" s="60"/>
      <c r="M2" s="61" t="s">
        <v>36</v>
      </c>
    </row>
    <row r="3" spans="1:15" x14ac:dyDescent="0.25">
      <c r="A3" s="11">
        <v>500</v>
      </c>
      <c r="B3" s="11" t="s">
        <v>10</v>
      </c>
      <c r="C3" s="55">
        <v>117000</v>
      </c>
      <c r="D3" s="65">
        <v>1047</v>
      </c>
      <c r="E3" s="66">
        <f>D3/$D$15</f>
        <v>5.7609772202046883E-2</v>
      </c>
      <c r="F3" s="66"/>
      <c r="G3" s="67">
        <f>E3*481220</f>
        <v>27722.974579068999</v>
      </c>
      <c r="H3" s="67"/>
      <c r="I3" s="67">
        <f>$E3*(481220-145000)</f>
        <v>19369.557609772204</v>
      </c>
      <c r="J3" s="67">
        <f>$E3*145000</f>
        <v>8353.4169692967971</v>
      </c>
      <c r="K3" s="67"/>
      <c r="L3" s="67"/>
      <c r="M3" s="67">
        <f>SUM(I3:K3)</f>
        <v>27722.974579068999</v>
      </c>
    </row>
    <row r="4" spans="1:15" x14ac:dyDescent="0.25">
      <c r="A4" s="12">
        <v>501</v>
      </c>
      <c r="B4" s="12" t="s">
        <v>9</v>
      </c>
      <c r="C4" s="56">
        <v>67500</v>
      </c>
      <c r="D4" s="65">
        <v>1138</v>
      </c>
      <c r="E4" s="66">
        <f t="shared" ref="E4:E14" si="0">D4/$D$15</f>
        <v>6.2616925277869481E-2</v>
      </c>
      <c r="F4" s="66"/>
      <c r="G4" s="67">
        <f t="shared" ref="G4:G14" si="1">E4*481220</f>
        <v>30132.516782216353</v>
      </c>
      <c r="H4" s="67"/>
      <c r="I4" s="67">
        <f t="shared" ref="I4:I14" si="2">$E4*(481220-145000)</f>
        <v>21053.062616925276</v>
      </c>
      <c r="J4" s="67">
        <f t="shared" ref="J4:J14" si="3">$E4*145000</f>
        <v>9079.4541652910739</v>
      </c>
      <c r="K4" s="67"/>
      <c r="L4" s="67"/>
      <c r="M4" s="67">
        <f>SUM(I4:K4)</f>
        <v>30132.516782216349</v>
      </c>
    </row>
    <row r="5" spans="1:15" x14ac:dyDescent="0.25">
      <c r="A5" s="12">
        <v>502</v>
      </c>
      <c r="B5" s="12" t="s">
        <v>2</v>
      </c>
      <c r="C5" s="56">
        <v>67500</v>
      </c>
      <c r="D5" s="65">
        <v>1189</v>
      </c>
      <c r="E5" s="66">
        <f t="shared" si="0"/>
        <v>6.5423131946737101E-2</v>
      </c>
      <c r="F5" s="66"/>
      <c r="G5" s="67">
        <f t="shared" si="1"/>
        <v>31482.919555408829</v>
      </c>
      <c r="H5" s="67"/>
      <c r="I5" s="67">
        <f t="shared" si="2"/>
        <v>21996.56542313195</v>
      </c>
      <c r="J5" s="67">
        <f t="shared" si="3"/>
        <v>9486.3541322768797</v>
      </c>
      <c r="K5" s="67"/>
      <c r="L5" s="67"/>
      <c r="M5" s="67">
        <f>SUM(I5:K5)</f>
        <v>31482.919555408829</v>
      </c>
      <c r="N5" s="82">
        <f>I5/2</f>
        <v>10998.282711565975</v>
      </c>
    </row>
    <row r="6" spans="1:15" x14ac:dyDescent="0.25">
      <c r="A6" s="12">
        <v>503</v>
      </c>
      <c r="B6" s="12" t="s">
        <v>3</v>
      </c>
      <c r="C6" s="56">
        <v>288000</v>
      </c>
      <c r="D6" s="65">
        <v>5242</v>
      </c>
      <c r="E6" s="66">
        <f t="shared" si="0"/>
        <v>0.28843402663145151</v>
      </c>
      <c r="F6" s="66"/>
      <c r="G6" s="67">
        <f t="shared" si="1"/>
        <v>138800.2222955871</v>
      </c>
      <c r="H6" s="67"/>
      <c r="I6" s="67">
        <f t="shared" si="2"/>
        <v>96977.288434026632</v>
      </c>
      <c r="J6" s="67">
        <f t="shared" si="3"/>
        <v>41822.933861560472</v>
      </c>
      <c r="K6" s="67"/>
      <c r="L6" s="67"/>
      <c r="M6" s="67">
        <f>SUM(I6:K6)</f>
        <v>138800.2222955871</v>
      </c>
      <c r="N6" s="82">
        <f>I6/2</f>
        <v>48488.644217013316</v>
      </c>
    </row>
    <row r="7" spans="1:15" x14ac:dyDescent="0.25">
      <c r="A7" s="12">
        <v>504</v>
      </c>
      <c r="B7" s="12" t="s">
        <v>4</v>
      </c>
      <c r="C7" s="56">
        <v>117000</v>
      </c>
      <c r="D7" s="65">
        <v>1338</v>
      </c>
      <c r="E7" s="66">
        <f t="shared" si="0"/>
        <v>7.3621657312644431E-2</v>
      </c>
      <c r="F7" s="66"/>
      <c r="G7" s="67">
        <f t="shared" si="1"/>
        <v>35428.213931990751</v>
      </c>
      <c r="H7" s="67"/>
      <c r="I7" s="67">
        <f t="shared" si="2"/>
        <v>24753.07362165731</v>
      </c>
      <c r="J7" s="67">
        <f t="shared" si="3"/>
        <v>10675.140310333443</v>
      </c>
      <c r="K7" s="67"/>
      <c r="L7" s="67"/>
      <c r="M7" s="67">
        <f t="shared" ref="M7:M14" si="4">SUM(I7:K7)</f>
        <v>35428.213931990751</v>
      </c>
    </row>
    <row r="8" spans="1:15" x14ac:dyDescent="0.25">
      <c r="A8" s="12">
        <v>505</v>
      </c>
      <c r="B8" s="12" t="s">
        <v>5</v>
      </c>
      <c r="C8" s="56">
        <v>252000</v>
      </c>
      <c r="D8" s="65">
        <v>3865</v>
      </c>
      <c r="E8" s="66">
        <f t="shared" si="0"/>
        <v>0.21266644657202596</v>
      </c>
      <c r="F8" s="66"/>
      <c r="G8" s="67">
        <f t="shared" si="1"/>
        <v>102339.34741939034</v>
      </c>
      <c r="H8" s="67"/>
      <c r="I8" s="67">
        <f t="shared" si="2"/>
        <v>71502.712666446576</v>
      </c>
      <c r="J8" s="67">
        <f t="shared" si="3"/>
        <v>30836.634752943766</v>
      </c>
      <c r="K8" s="67"/>
      <c r="L8" s="67"/>
      <c r="M8" s="67">
        <f t="shared" si="4"/>
        <v>102339.34741939034</v>
      </c>
    </row>
    <row r="9" spans="1:15" x14ac:dyDescent="0.25">
      <c r="A9" s="12">
        <v>506</v>
      </c>
      <c r="B9" s="12" t="s">
        <v>14</v>
      </c>
      <c r="C9" s="56">
        <v>45000</v>
      </c>
      <c r="D9" s="65">
        <v>666</v>
      </c>
      <c r="E9" s="66">
        <f t="shared" si="0"/>
        <v>3.6645757675800597E-2</v>
      </c>
      <c r="F9" s="66"/>
      <c r="G9" s="67">
        <f t="shared" si="1"/>
        <v>17634.671508748765</v>
      </c>
      <c r="H9" s="67"/>
      <c r="I9" s="67">
        <f t="shared" si="2"/>
        <v>12321.036645757677</v>
      </c>
      <c r="J9" s="67">
        <f t="shared" si="3"/>
        <v>5313.6348629910863</v>
      </c>
      <c r="K9" s="67"/>
      <c r="L9" s="67"/>
      <c r="M9" s="67">
        <f t="shared" si="4"/>
        <v>17634.671508748761</v>
      </c>
    </row>
    <row r="10" spans="1:15" x14ac:dyDescent="0.25">
      <c r="A10" s="12">
        <v>507</v>
      </c>
      <c r="B10" s="12" t="s">
        <v>6</v>
      </c>
      <c r="C10" s="56">
        <v>180000</v>
      </c>
      <c r="D10" s="65">
        <v>2138</v>
      </c>
      <c r="E10" s="66">
        <f t="shared" si="0"/>
        <v>0.11764058545174425</v>
      </c>
      <c r="F10" s="66"/>
      <c r="G10" s="67">
        <f t="shared" si="1"/>
        <v>56611.002531088365</v>
      </c>
      <c r="H10" s="67"/>
      <c r="I10" s="67">
        <f t="shared" si="2"/>
        <v>39553.117640585449</v>
      </c>
      <c r="J10" s="67">
        <f t="shared" si="3"/>
        <v>17057.884890502915</v>
      </c>
      <c r="K10" s="67"/>
      <c r="L10" s="67"/>
      <c r="M10" s="67">
        <f t="shared" si="4"/>
        <v>56611.002531088365</v>
      </c>
      <c r="N10" s="82">
        <f>I10/2</f>
        <v>19776.558820292725</v>
      </c>
      <c r="O10" s="38"/>
    </row>
    <row r="11" spans="1:15" x14ac:dyDescent="0.25">
      <c r="A11" s="12">
        <v>509</v>
      </c>
      <c r="B11" s="12" t="s">
        <v>7</v>
      </c>
      <c r="C11" s="56">
        <v>45000</v>
      </c>
      <c r="D11" s="65">
        <v>614</v>
      </c>
      <c r="E11" s="66">
        <f t="shared" si="0"/>
        <v>3.3784527346759109E-2</v>
      </c>
      <c r="F11" s="66"/>
      <c r="G11" s="67">
        <f t="shared" si="1"/>
        <v>16257.790249807418</v>
      </c>
      <c r="H11" s="67"/>
      <c r="I11" s="67">
        <f t="shared" si="2"/>
        <v>11359.033784527348</v>
      </c>
      <c r="J11" s="67">
        <f t="shared" si="3"/>
        <v>4898.7564652800711</v>
      </c>
      <c r="K11" s="67"/>
      <c r="L11" s="67"/>
      <c r="M11" s="67">
        <f t="shared" si="4"/>
        <v>16257.790249807418</v>
      </c>
    </row>
    <row r="12" spans="1:15" x14ac:dyDescent="0.25">
      <c r="A12" s="12">
        <v>511</v>
      </c>
      <c r="B12" s="12" t="s">
        <v>8</v>
      </c>
      <c r="C12" s="56">
        <v>45000</v>
      </c>
      <c r="D12" s="65">
        <v>498</v>
      </c>
      <c r="E12" s="66">
        <f t="shared" si="0"/>
        <v>2.7401782766589635E-2</v>
      </c>
      <c r="F12" s="66"/>
      <c r="G12" s="67">
        <f t="shared" si="1"/>
        <v>13186.285902938263</v>
      </c>
      <c r="H12" s="67"/>
      <c r="I12" s="67">
        <f t="shared" si="2"/>
        <v>9213.0274017827669</v>
      </c>
      <c r="J12" s="67">
        <f t="shared" si="3"/>
        <v>3973.258501155497</v>
      </c>
      <c r="K12" s="67"/>
      <c r="L12" s="67"/>
      <c r="M12" s="67">
        <f t="shared" si="4"/>
        <v>13186.285902938263</v>
      </c>
    </row>
    <row r="13" spans="1:15" x14ac:dyDescent="0.25">
      <c r="A13" s="12">
        <v>513</v>
      </c>
      <c r="B13" s="12" t="s">
        <v>11</v>
      </c>
      <c r="C13" s="56">
        <v>22500</v>
      </c>
      <c r="D13" s="65">
        <v>231</v>
      </c>
      <c r="E13" s="66">
        <f t="shared" si="0"/>
        <v>1.2710465500165071E-2</v>
      </c>
      <c r="F13" s="66"/>
      <c r="G13" s="67">
        <f t="shared" si="1"/>
        <v>6116.5302079894354</v>
      </c>
      <c r="H13" s="67"/>
      <c r="I13" s="67">
        <f t="shared" si="2"/>
        <v>4273.5127104655003</v>
      </c>
      <c r="J13" s="67">
        <f t="shared" si="3"/>
        <v>1843.0174975239354</v>
      </c>
      <c r="K13" s="67"/>
      <c r="L13" s="67"/>
      <c r="M13" s="67">
        <f t="shared" si="4"/>
        <v>6116.5302079894354</v>
      </c>
      <c r="N13" s="82">
        <f>I13/2</f>
        <v>2136.7563552327501</v>
      </c>
    </row>
    <row r="14" spans="1:15" x14ac:dyDescent="0.25">
      <c r="A14" s="12">
        <v>516</v>
      </c>
      <c r="B14" s="12" t="s">
        <v>12</v>
      </c>
      <c r="C14" s="56">
        <v>22500</v>
      </c>
      <c r="D14" s="65">
        <v>208</v>
      </c>
      <c r="E14" s="66">
        <f t="shared" si="0"/>
        <v>1.1444921316165951E-2</v>
      </c>
      <c r="F14" s="66"/>
      <c r="G14" s="67">
        <f t="shared" si="1"/>
        <v>5507.5250357653795</v>
      </c>
      <c r="H14" s="67"/>
      <c r="I14" s="67">
        <f t="shared" si="2"/>
        <v>3848.0114449213161</v>
      </c>
      <c r="J14" s="67">
        <f t="shared" si="3"/>
        <v>1659.5135908440629</v>
      </c>
      <c r="K14" s="67"/>
      <c r="L14" s="67"/>
      <c r="M14" s="67">
        <f t="shared" si="4"/>
        <v>5507.5250357653786</v>
      </c>
    </row>
    <row r="15" spans="1:15" x14ac:dyDescent="0.25">
      <c r="A15" s="42" t="s">
        <v>1</v>
      </c>
      <c r="B15" s="42"/>
      <c r="C15" s="7">
        <f>SUM(C3:C14)</f>
        <v>1269000</v>
      </c>
      <c r="D15" s="62">
        <f>SUM(D3:D14)</f>
        <v>18174</v>
      </c>
      <c r="E15" s="54">
        <f t="shared" ref="E15:G15" si="5">SUM(E3:E14)</f>
        <v>1</v>
      </c>
      <c r="F15" s="54"/>
      <c r="G15" s="63">
        <f t="shared" si="5"/>
        <v>481220</v>
      </c>
      <c r="H15" s="63"/>
      <c r="I15" s="63">
        <f>SUM(I3:I14)</f>
        <v>336220</v>
      </c>
      <c r="J15" s="63">
        <f>SUM(J3:J14)</f>
        <v>145000</v>
      </c>
      <c r="K15" s="63">
        <f>SUM(K3:K14)</f>
        <v>0</v>
      </c>
      <c r="L15" s="63"/>
      <c r="M15" s="64">
        <f>SUM(M3:M14)</f>
        <v>481220</v>
      </c>
    </row>
    <row r="16" spans="1:15" ht="72" x14ac:dyDescent="0.25">
      <c r="G16" s="3">
        <v>481220</v>
      </c>
      <c r="J16" s="38"/>
      <c r="K16" s="48" t="s">
        <v>37</v>
      </c>
      <c r="L16" s="48"/>
      <c r="M16" s="48"/>
    </row>
  </sheetData>
  <mergeCells count="2">
    <mergeCell ref="A1:B2"/>
    <mergeCell ref="D1:E1"/>
  </mergeCells>
  <pageMargins left="0.7" right="0.7" top="0.75" bottom="0.75" header="0.3" footer="0.3"/>
  <pageSetup scale="90" orientation="landscape" r:id="rId1"/>
  <headerFooter>
    <oddHeader>&amp;CNC HMIS Costs by CoC
July 2015 to June 2016</oddHeader>
    <oddFooter>&amp;RCHIN Governance Committee 1.26.15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WhiteSpace="0" zoomScaleNormal="100" workbookViewId="0">
      <selection activeCell="J16" sqref="J16"/>
    </sheetView>
  </sheetViews>
  <sheetFormatPr defaultRowHeight="15" x14ac:dyDescent="0.25"/>
  <cols>
    <col min="1" max="1" width="9.140625" style="3"/>
    <col min="2" max="2" width="12.28515625" style="3" customWidth="1"/>
    <col min="3" max="3" width="12.28515625" style="3" hidden="1" customWidth="1"/>
    <col min="4" max="4" width="11.7109375" style="3" customWidth="1"/>
    <col min="5" max="5" width="8.7109375" style="3" customWidth="1"/>
    <col min="6" max="8" width="13" style="3" customWidth="1"/>
    <col min="9" max="9" width="14" style="3" customWidth="1"/>
    <col min="10" max="14" width="16.42578125" style="3" customWidth="1"/>
    <col min="15" max="15" width="17" style="3" customWidth="1"/>
    <col min="16" max="16" width="9.140625" style="3"/>
    <col min="17" max="17" width="10" style="3" bestFit="1" customWidth="1"/>
    <col min="18" max="16384" width="9.140625" style="3"/>
  </cols>
  <sheetData>
    <row r="1" spans="1:17" ht="30" customHeight="1" x14ac:dyDescent="0.25">
      <c r="A1" s="68" t="s">
        <v>0</v>
      </c>
      <c r="B1" s="68"/>
      <c r="C1" s="17" t="s">
        <v>13</v>
      </c>
      <c r="D1" s="69" t="s">
        <v>18</v>
      </c>
      <c r="E1" s="71"/>
      <c r="F1" s="43" t="s">
        <v>32</v>
      </c>
      <c r="G1" s="43" t="s">
        <v>33</v>
      </c>
      <c r="H1" s="43" t="s">
        <v>34</v>
      </c>
      <c r="I1" s="43" t="s">
        <v>25</v>
      </c>
      <c r="J1" s="43" t="s">
        <v>27</v>
      </c>
      <c r="K1" s="27" t="s">
        <v>20</v>
      </c>
      <c r="L1" s="27" t="s">
        <v>23</v>
      </c>
      <c r="M1" s="27" t="s">
        <v>21</v>
      </c>
      <c r="N1" s="31" t="s">
        <v>25</v>
      </c>
      <c r="O1" s="27" t="s">
        <v>27</v>
      </c>
    </row>
    <row r="2" spans="1:17" ht="30" customHeight="1" x14ac:dyDescent="0.25">
      <c r="A2" s="68"/>
      <c r="B2" s="68"/>
      <c r="C2" s="18"/>
      <c r="D2" s="47" t="s">
        <v>16</v>
      </c>
      <c r="E2" s="47" t="s">
        <v>35</v>
      </c>
      <c r="F2" s="30" t="s">
        <v>36</v>
      </c>
      <c r="G2" s="14" t="s">
        <v>36</v>
      </c>
      <c r="H2" s="14" t="s">
        <v>36</v>
      </c>
      <c r="I2" s="14" t="s">
        <v>36</v>
      </c>
      <c r="J2" s="14" t="s">
        <v>36</v>
      </c>
      <c r="K2" s="30" t="s">
        <v>19</v>
      </c>
      <c r="L2" s="30" t="s">
        <v>24</v>
      </c>
      <c r="M2" s="29" t="s">
        <v>22</v>
      </c>
      <c r="N2" s="29" t="s">
        <v>26</v>
      </c>
      <c r="O2" s="29" t="s">
        <v>26</v>
      </c>
    </row>
    <row r="3" spans="1:17" x14ac:dyDescent="0.25">
      <c r="A3" s="11">
        <v>500</v>
      </c>
      <c r="B3" s="11" t="s">
        <v>10</v>
      </c>
      <c r="C3" s="4">
        <v>117000</v>
      </c>
      <c r="D3" s="34">
        <v>1047</v>
      </c>
      <c r="E3" s="35">
        <f>D3/$D$15</f>
        <v>5.7609772202046883E-2</v>
      </c>
      <c r="F3" s="5">
        <f>E3*481220</f>
        <v>27722.974579068999</v>
      </c>
      <c r="G3" s="5">
        <f>$E3*(481220-145000)</f>
        <v>19369.557609772204</v>
      </c>
      <c r="H3" s="5">
        <f>$E3*145000</f>
        <v>8353.4169692967971</v>
      </c>
      <c r="I3" s="5"/>
      <c r="J3" s="5">
        <f>SUM(G3:I3)</f>
        <v>27722.974579068999</v>
      </c>
      <c r="K3" s="49">
        <f>$K$15*E3</f>
        <v>9525.7758336084516</v>
      </c>
      <c r="L3" s="49">
        <f>$L$15*E3</f>
        <v>6097.0342247166282</v>
      </c>
      <c r="M3" s="49">
        <v>25449</v>
      </c>
      <c r="N3" s="49"/>
      <c r="O3" s="50">
        <f>SUM(K3+L3+M3+N3)</f>
        <v>41071.810058325078</v>
      </c>
    </row>
    <row r="4" spans="1:17" x14ac:dyDescent="0.25">
      <c r="A4" s="12">
        <v>501</v>
      </c>
      <c r="B4" s="12" t="s">
        <v>9</v>
      </c>
      <c r="C4" s="1">
        <v>67500</v>
      </c>
      <c r="D4" s="36">
        <v>1138</v>
      </c>
      <c r="E4" s="35">
        <f t="shared" ref="E4:E14" si="0">D4/$D$15</f>
        <v>6.2616925277869481E-2</v>
      </c>
      <c r="F4" s="5">
        <f t="shared" ref="F4:F14" si="1">E4*481220</f>
        <v>30132.516782216353</v>
      </c>
      <c r="G4" s="5">
        <f t="shared" ref="G4:G14" si="2">$E4*(481220-145000)</f>
        <v>21053.062616925276</v>
      </c>
      <c r="H4" s="5">
        <f t="shared" ref="H4:H14" si="3">$E4*145000</f>
        <v>9079.4541652910739</v>
      </c>
      <c r="I4" s="5"/>
      <c r="J4" s="5">
        <f>SUM(G4:I4)</f>
        <v>30132.516782216349</v>
      </c>
      <c r="K4" s="49">
        <f>$K$15*E4</f>
        <v>10353.70859469572</v>
      </c>
      <c r="L4" s="49">
        <f t="shared" ref="L4:L14" si="4">$L$15*E4</f>
        <v>6626.9579252411868</v>
      </c>
      <c r="M4" s="49">
        <v>14682</v>
      </c>
      <c r="N4" s="49"/>
      <c r="O4" s="50">
        <f t="shared" ref="O4:O14" si="5">SUM(K4+L4+M4+N4)</f>
        <v>31662.666519936905</v>
      </c>
    </row>
    <row r="5" spans="1:17" x14ac:dyDescent="0.25">
      <c r="A5" s="12">
        <v>502</v>
      </c>
      <c r="B5" s="12" t="s">
        <v>2</v>
      </c>
      <c r="C5" s="1">
        <v>67500</v>
      </c>
      <c r="D5" s="36">
        <v>1189</v>
      </c>
      <c r="E5" s="35">
        <f t="shared" si="0"/>
        <v>6.5423131946737101E-2</v>
      </c>
      <c r="F5" s="5">
        <f t="shared" si="1"/>
        <v>31482.919555408829</v>
      </c>
      <c r="G5" s="5">
        <f t="shared" si="2"/>
        <v>21996.56542313195</v>
      </c>
      <c r="H5" s="5">
        <f t="shared" si="3"/>
        <v>9486.3541322768797</v>
      </c>
      <c r="I5" s="5"/>
      <c r="J5" s="5">
        <f>SUM(G5:I5)</f>
        <v>31482.919555408829</v>
      </c>
      <c r="K5" s="49">
        <f>$K$15*E5</f>
        <v>10817.714867392981</v>
      </c>
      <c r="L5" s="49">
        <f t="shared" si="4"/>
        <v>6923.948131029676</v>
      </c>
      <c r="M5" s="49">
        <v>14682</v>
      </c>
      <c r="N5" s="49"/>
      <c r="O5" s="50">
        <f t="shared" si="5"/>
        <v>32423.662998422657</v>
      </c>
    </row>
    <row r="6" spans="1:17" x14ac:dyDescent="0.25">
      <c r="A6" s="12">
        <v>503</v>
      </c>
      <c r="B6" s="12" t="s">
        <v>3</v>
      </c>
      <c r="C6" s="1">
        <v>288000</v>
      </c>
      <c r="D6" s="36">
        <v>5242</v>
      </c>
      <c r="E6" s="35">
        <f t="shared" si="0"/>
        <v>0.28843402663145151</v>
      </c>
      <c r="F6" s="5">
        <f t="shared" si="1"/>
        <v>138800.2222955871</v>
      </c>
      <c r="G6" s="5">
        <f t="shared" si="2"/>
        <v>96977.288434026632</v>
      </c>
      <c r="H6" s="5">
        <f t="shared" si="3"/>
        <v>41822.933861560472</v>
      </c>
      <c r="I6" s="5"/>
      <c r="J6" s="5">
        <f>SUM(G6:I6)</f>
        <v>138800.2222955871</v>
      </c>
      <c r="K6" s="49">
        <f>$K$15*E6</f>
        <v>47692.56630351051</v>
      </c>
      <c r="L6" s="49">
        <f t="shared" si="4"/>
        <v>30525.93448516195</v>
      </c>
      <c r="M6" s="49">
        <v>62645</v>
      </c>
      <c r="N6" s="49"/>
      <c r="O6" s="50">
        <f t="shared" si="5"/>
        <v>140863.50078867248</v>
      </c>
    </row>
    <row r="7" spans="1:17" x14ac:dyDescent="0.25">
      <c r="A7" s="12">
        <v>504</v>
      </c>
      <c r="B7" s="12" t="s">
        <v>4</v>
      </c>
      <c r="C7" s="1">
        <v>117000</v>
      </c>
      <c r="D7" s="36">
        <v>1338</v>
      </c>
      <c r="E7" s="35">
        <f t="shared" si="0"/>
        <v>7.3621657312644431E-2</v>
      </c>
      <c r="F7" s="5">
        <f t="shared" si="1"/>
        <v>35428.213931990751</v>
      </c>
      <c r="G7" s="5">
        <f t="shared" si="2"/>
        <v>24753.07362165731</v>
      </c>
      <c r="H7" s="5">
        <f t="shared" si="3"/>
        <v>10675.140310333443</v>
      </c>
      <c r="I7" s="5"/>
      <c r="J7" s="5">
        <f t="shared" ref="J7:J14" si="6">SUM(G7:I7)</f>
        <v>35428.213931990751</v>
      </c>
      <c r="K7" s="49">
        <f t="shared" ref="K7:K14" si="7">$K$15*E7</f>
        <v>12173.341036645757</v>
      </c>
      <c r="L7" s="49">
        <f t="shared" si="4"/>
        <v>7791.6253989215356</v>
      </c>
      <c r="M7" s="49">
        <v>25449</v>
      </c>
      <c r="N7" s="49"/>
      <c r="O7" s="50">
        <f t="shared" si="5"/>
        <v>45413.966435567294</v>
      </c>
    </row>
    <row r="8" spans="1:17" x14ac:dyDescent="0.25">
      <c r="A8" s="12">
        <v>505</v>
      </c>
      <c r="B8" s="12" t="s">
        <v>5</v>
      </c>
      <c r="C8" s="1">
        <v>252000</v>
      </c>
      <c r="D8" s="36">
        <v>3865</v>
      </c>
      <c r="E8" s="35">
        <f t="shared" si="0"/>
        <v>0.21266644657202596</v>
      </c>
      <c r="F8" s="5">
        <f t="shared" si="1"/>
        <v>102339.34741939034</v>
      </c>
      <c r="G8" s="5">
        <f t="shared" si="2"/>
        <v>71502.712666446576</v>
      </c>
      <c r="H8" s="5">
        <f t="shared" si="3"/>
        <v>30836.634752943766</v>
      </c>
      <c r="I8" s="5"/>
      <c r="J8" s="5">
        <f t="shared" si="6"/>
        <v>102339.34741939034</v>
      </c>
      <c r="K8" s="49">
        <f t="shared" si="7"/>
        <v>35164.396940684492</v>
      </c>
      <c r="L8" s="49">
        <f t="shared" si="4"/>
        <v>22507.198928872745</v>
      </c>
      <c r="M8" s="49">
        <v>54814</v>
      </c>
      <c r="N8" s="49"/>
      <c r="O8" s="50">
        <f t="shared" si="5"/>
        <v>112485.59586955723</v>
      </c>
    </row>
    <row r="9" spans="1:17" x14ac:dyDescent="0.25">
      <c r="A9" s="12">
        <v>506</v>
      </c>
      <c r="B9" s="12" t="s">
        <v>14</v>
      </c>
      <c r="C9" s="1">
        <v>45000</v>
      </c>
      <c r="D9" s="36">
        <v>666</v>
      </c>
      <c r="E9" s="35">
        <f t="shared" si="0"/>
        <v>3.6645757675800597E-2</v>
      </c>
      <c r="F9" s="5">
        <f t="shared" si="1"/>
        <v>17634.671508748765</v>
      </c>
      <c r="G9" s="5">
        <f t="shared" si="2"/>
        <v>12321.036645757677</v>
      </c>
      <c r="H9" s="5">
        <f t="shared" si="3"/>
        <v>5313.6348629910863</v>
      </c>
      <c r="I9" s="5"/>
      <c r="J9" s="5">
        <f t="shared" si="6"/>
        <v>17634.671508748761</v>
      </c>
      <c r="K9" s="49">
        <f t="shared" si="7"/>
        <v>6059.3760316936286</v>
      </c>
      <c r="L9" s="49">
        <f t="shared" si="4"/>
        <v>3878.3426873555632</v>
      </c>
      <c r="M9" s="49">
        <v>9788</v>
      </c>
      <c r="N9" s="49"/>
      <c r="O9" s="50">
        <f t="shared" si="5"/>
        <v>19725.71871904919</v>
      </c>
    </row>
    <row r="10" spans="1:17" x14ac:dyDescent="0.25">
      <c r="A10" s="12">
        <v>507</v>
      </c>
      <c r="B10" s="12" t="s">
        <v>6</v>
      </c>
      <c r="C10" s="1">
        <v>180000</v>
      </c>
      <c r="D10" s="36">
        <v>2138</v>
      </c>
      <c r="E10" s="35">
        <f t="shared" si="0"/>
        <v>0.11764058545174425</v>
      </c>
      <c r="F10" s="5">
        <f t="shared" si="1"/>
        <v>56611.002531088365</v>
      </c>
      <c r="G10" s="5">
        <f t="shared" si="2"/>
        <v>39553.117640585449</v>
      </c>
      <c r="H10" s="5">
        <f t="shared" si="3"/>
        <v>17057.884890502915</v>
      </c>
      <c r="I10" s="5"/>
      <c r="J10" s="5">
        <f t="shared" si="6"/>
        <v>56611.002531088365</v>
      </c>
      <c r="K10" s="49">
        <f t="shared" si="7"/>
        <v>19451.870804445913</v>
      </c>
      <c r="L10" s="49">
        <f t="shared" si="4"/>
        <v>12450.295293642932</v>
      </c>
      <c r="M10" s="49">
        <v>39153</v>
      </c>
      <c r="N10" s="49"/>
      <c r="O10" s="50">
        <f t="shared" si="5"/>
        <v>71055.166098088841</v>
      </c>
      <c r="Q10" s="38"/>
    </row>
    <row r="11" spans="1:17" x14ac:dyDescent="0.25">
      <c r="A11" s="12">
        <v>509</v>
      </c>
      <c r="B11" s="12" t="s">
        <v>7</v>
      </c>
      <c r="C11" s="1">
        <v>45000</v>
      </c>
      <c r="D11" s="36">
        <v>614</v>
      </c>
      <c r="E11" s="35">
        <f t="shared" si="0"/>
        <v>3.3784527346759109E-2</v>
      </c>
      <c r="F11" s="5">
        <f t="shared" si="1"/>
        <v>16257.790249807418</v>
      </c>
      <c r="G11" s="5">
        <f t="shared" si="2"/>
        <v>11359.033784527348</v>
      </c>
      <c r="H11" s="5">
        <f t="shared" si="3"/>
        <v>4898.7564652800711</v>
      </c>
      <c r="I11" s="5"/>
      <c r="J11" s="5">
        <f t="shared" si="6"/>
        <v>16257.790249807418</v>
      </c>
      <c r="K11" s="49">
        <f t="shared" si="7"/>
        <v>5586.2715967866188</v>
      </c>
      <c r="L11" s="49">
        <f t="shared" si="4"/>
        <v>3575.5291441986724</v>
      </c>
      <c r="M11" s="49">
        <v>9788</v>
      </c>
      <c r="N11" s="49"/>
      <c r="O11" s="50">
        <f t="shared" si="5"/>
        <v>18949.800740985291</v>
      </c>
    </row>
    <row r="12" spans="1:17" x14ac:dyDescent="0.25">
      <c r="A12" s="12">
        <v>511</v>
      </c>
      <c r="B12" s="12" t="s">
        <v>8</v>
      </c>
      <c r="C12" s="1">
        <v>45000</v>
      </c>
      <c r="D12" s="36">
        <v>498</v>
      </c>
      <c r="E12" s="35">
        <f t="shared" si="0"/>
        <v>2.7401782766589635E-2</v>
      </c>
      <c r="F12" s="5">
        <f t="shared" si="1"/>
        <v>13186.285902938263</v>
      </c>
      <c r="G12" s="5">
        <f t="shared" si="2"/>
        <v>9213.0274017827669</v>
      </c>
      <c r="H12" s="5">
        <f t="shared" si="3"/>
        <v>3973.258501155497</v>
      </c>
      <c r="I12" s="5"/>
      <c r="J12" s="5">
        <f t="shared" si="6"/>
        <v>13186.285902938263</v>
      </c>
      <c r="K12" s="49">
        <f t="shared" si="7"/>
        <v>4530.8847804555962</v>
      </c>
      <c r="L12" s="49">
        <f t="shared" si="4"/>
        <v>2900.0220094640695</v>
      </c>
      <c r="M12" s="49">
        <v>9788</v>
      </c>
      <c r="N12" s="49"/>
      <c r="O12" s="50">
        <f t="shared" si="5"/>
        <v>17218.906789919667</v>
      </c>
    </row>
    <row r="13" spans="1:17" x14ac:dyDescent="0.25">
      <c r="A13" s="12">
        <v>513</v>
      </c>
      <c r="B13" s="12" t="s">
        <v>11</v>
      </c>
      <c r="C13" s="1">
        <v>22500</v>
      </c>
      <c r="D13" s="36">
        <v>231</v>
      </c>
      <c r="E13" s="35">
        <f t="shared" si="0"/>
        <v>1.2710465500165071E-2</v>
      </c>
      <c r="F13" s="5">
        <f t="shared" si="1"/>
        <v>6116.5302079894354</v>
      </c>
      <c r="G13" s="5">
        <f t="shared" si="2"/>
        <v>4273.5127104655003</v>
      </c>
      <c r="H13" s="5">
        <f t="shared" si="3"/>
        <v>1843.0174975239354</v>
      </c>
      <c r="I13" s="5"/>
      <c r="J13" s="5">
        <f t="shared" si="6"/>
        <v>6116.5302079894354</v>
      </c>
      <c r="K13" s="49">
        <f t="shared" si="7"/>
        <v>2101.6754704522946</v>
      </c>
      <c r="L13" s="49">
        <f t="shared" si="4"/>
        <v>1345.1909321008034</v>
      </c>
      <c r="M13" s="49">
        <v>4894</v>
      </c>
      <c r="N13" s="49"/>
      <c r="O13" s="50">
        <f t="shared" si="5"/>
        <v>8340.8664025530979</v>
      </c>
    </row>
    <row r="14" spans="1:17" x14ac:dyDescent="0.25">
      <c r="A14" s="12">
        <v>516</v>
      </c>
      <c r="B14" s="12" t="s">
        <v>12</v>
      </c>
      <c r="C14" s="1">
        <v>22500</v>
      </c>
      <c r="D14" s="36">
        <v>208</v>
      </c>
      <c r="E14" s="35">
        <f t="shared" si="0"/>
        <v>1.1444921316165951E-2</v>
      </c>
      <c r="F14" s="5">
        <f t="shared" si="1"/>
        <v>5507.5250357653795</v>
      </c>
      <c r="G14" s="5">
        <f t="shared" si="2"/>
        <v>3848.0114449213161</v>
      </c>
      <c r="H14" s="5">
        <f t="shared" si="3"/>
        <v>1659.5135908440629</v>
      </c>
      <c r="I14" s="5"/>
      <c r="J14" s="5">
        <f t="shared" si="6"/>
        <v>5507.5250357653786</v>
      </c>
      <c r="K14" s="49">
        <f t="shared" si="7"/>
        <v>1892.41773962804</v>
      </c>
      <c r="L14" s="49">
        <f t="shared" si="4"/>
        <v>1211.2541726275631</v>
      </c>
      <c r="M14" s="49">
        <v>4894</v>
      </c>
      <c r="N14" s="49"/>
      <c r="O14" s="50">
        <f t="shared" si="5"/>
        <v>7997.6719122556033</v>
      </c>
    </row>
    <row r="15" spans="1:17" x14ac:dyDescent="0.25">
      <c r="A15" s="42" t="s">
        <v>1</v>
      </c>
      <c r="B15" s="42"/>
      <c r="C15" s="7">
        <f>SUM(C3:C14)</f>
        <v>1269000</v>
      </c>
      <c r="D15" s="26">
        <f>SUM(D3:D14)</f>
        <v>18174</v>
      </c>
      <c r="E15" s="9">
        <f t="shared" ref="E15:F15" si="8">SUM(E3:E14)</f>
        <v>1</v>
      </c>
      <c r="F15" s="10">
        <f t="shared" si="8"/>
        <v>481220</v>
      </c>
      <c r="G15" s="10">
        <f>SUM(G3:G14)</f>
        <v>336220</v>
      </c>
      <c r="H15" s="10">
        <f>SUM(H3:H14)</f>
        <v>145000</v>
      </c>
      <c r="I15" s="10">
        <f>SUM(I3:I14)</f>
        <v>0</v>
      </c>
      <c r="J15" s="39">
        <f>SUM(J3:J14)</f>
        <v>481220</v>
      </c>
      <c r="K15" s="39">
        <v>165350</v>
      </c>
      <c r="L15" s="39">
        <f>100000+(35000/6)</f>
        <v>105833.33333333333</v>
      </c>
      <c r="M15" s="39">
        <f>SUM(M3:M14)</f>
        <v>276026</v>
      </c>
      <c r="N15" s="39">
        <f>SUM(N3:N14)</f>
        <v>0</v>
      </c>
      <c r="O15" s="15">
        <f>SUM(K15+L15+M15+N15)</f>
        <v>547209.33333333326</v>
      </c>
    </row>
    <row r="16" spans="1:17" ht="240.75" x14ac:dyDescent="0.25">
      <c r="H16" s="38"/>
      <c r="I16" s="48" t="s">
        <v>38</v>
      </c>
      <c r="J16" s="48"/>
      <c r="L16" s="40" t="s">
        <v>31</v>
      </c>
      <c r="N16" s="48" t="s">
        <v>37</v>
      </c>
      <c r="O16" s="48"/>
    </row>
  </sheetData>
  <mergeCells count="2">
    <mergeCell ref="A1:B2"/>
    <mergeCell ref="D1:E1"/>
  </mergeCells>
  <pageMargins left="0.7" right="0.7" top="0.75" bottom="0.75" header="0.3" footer="0.3"/>
  <pageSetup scale="63" orientation="landscape" r:id="rId1"/>
  <headerFooter>
    <oddHeader>&amp;CNC HMIS Costs by CoC
July 2015 to June 2016</oddHeader>
    <oddFooter>&amp;RCHIN Governance Committee 1.26.15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WhiteSpace="0" zoomScaleNormal="100" workbookViewId="0">
      <selection activeCell="J16" sqref="J16"/>
    </sheetView>
  </sheetViews>
  <sheetFormatPr defaultRowHeight="15" x14ac:dyDescent="0.25"/>
  <cols>
    <col min="1" max="1" width="9.140625" style="3"/>
    <col min="2" max="2" width="12.28515625" style="3" customWidth="1"/>
    <col min="3" max="3" width="12.28515625" style="3" hidden="1" customWidth="1"/>
    <col min="4" max="4" width="11.7109375" style="3" customWidth="1"/>
    <col min="5" max="5" width="12.5703125" style="3" customWidth="1"/>
    <col min="6" max="6" width="11.7109375" style="3" customWidth="1"/>
    <col min="7" max="7" width="12.5703125" style="3" customWidth="1"/>
    <col min="8" max="16384" width="9.140625" style="3"/>
  </cols>
  <sheetData>
    <row r="1" spans="1:10" ht="47.25" customHeight="1" x14ac:dyDescent="0.25">
      <c r="A1" s="72" t="s">
        <v>30</v>
      </c>
      <c r="B1" s="72"/>
      <c r="C1" s="72"/>
      <c r="D1" s="72"/>
      <c r="E1" s="72"/>
      <c r="F1" s="72"/>
      <c r="G1" s="72"/>
      <c r="H1" s="72"/>
      <c r="I1" s="72"/>
      <c r="J1" s="72"/>
    </row>
    <row r="2" spans="1:10" ht="30" customHeight="1" x14ac:dyDescent="0.25">
      <c r="A2" s="68" t="s">
        <v>0</v>
      </c>
      <c r="B2" s="68"/>
      <c r="C2" s="17" t="s">
        <v>13</v>
      </c>
      <c r="D2" s="69" t="s">
        <v>18</v>
      </c>
      <c r="E2" s="71"/>
      <c r="F2" s="69" t="s">
        <v>29</v>
      </c>
      <c r="G2" s="70"/>
      <c r="H2" s="19"/>
    </row>
    <row r="3" spans="1:10" ht="30" customHeight="1" x14ac:dyDescent="0.25">
      <c r="A3" s="68"/>
      <c r="B3" s="68"/>
      <c r="C3" s="18"/>
      <c r="D3" s="20" t="s">
        <v>16</v>
      </c>
      <c r="E3" s="21" t="s">
        <v>17</v>
      </c>
      <c r="F3" s="20" t="s">
        <v>16</v>
      </c>
      <c r="G3" s="21" t="s">
        <v>17</v>
      </c>
      <c r="H3" s="19"/>
    </row>
    <row r="4" spans="1:10" x14ac:dyDescent="0.25">
      <c r="A4" s="11">
        <v>500</v>
      </c>
      <c r="B4" s="11" t="s">
        <v>10</v>
      </c>
      <c r="C4" s="4">
        <v>117000</v>
      </c>
      <c r="D4" s="24">
        <v>1047</v>
      </c>
      <c r="E4" s="22">
        <f>D4/$D$16</f>
        <v>5.7609772202046883E-2</v>
      </c>
      <c r="F4" s="32">
        <v>1032</v>
      </c>
      <c r="G4" s="22">
        <f>F4/$F$16</f>
        <v>6.3069119354641573E-2</v>
      </c>
    </row>
    <row r="5" spans="1:10" x14ac:dyDescent="0.25">
      <c r="A5" s="12">
        <v>501</v>
      </c>
      <c r="B5" s="12" t="s">
        <v>9</v>
      </c>
      <c r="C5" s="1">
        <v>67500</v>
      </c>
      <c r="D5" s="25">
        <v>1138</v>
      </c>
      <c r="E5" s="22">
        <f t="shared" ref="E5:E15" si="0">D5/$D$16</f>
        <v>6.2616925277869481E-2</v>
      </c>
      <c r="F5" s="33">
        <v>1204</v>
      </c>
      <c r="G5" s="23">
        <f t="shared" ref="G5:G15" si="1">F5/$F$16</f>
        <v>7.358063924708183E-2</v>
      </c>
    </row>
    <row r="6" spans="1:10" x14ac:dyDescent="0.25">
      <c r="A6" s="12">
        <v>502</v>
      </c>
      <c r="B6" s="12" t="s">
        <v>2</v>
      </c>
      <c r="C6" s="1">
        <v>67500</v>
      </c>
      <c r="D6" s="25">
        <v>1189</v>
      </c>
      <c r="E6" s="22">
        <f t="shared" si="0"/>
        <v>6.5423131946737101E-2</v>
      </c>
      <c r="F6" s="33">
        <v>1123</v>
      </c>
      <c r="G6" s="23">
        <f t="shared" si="1"/>
        <v>6.8630446739595424E-2</v>
      </c>
    </row>
    <row r="7" spans="1:10" x14ac:dyDescent="0.25">
      <c r="A7" s="12">
        <v>503</v>
      </c>
      <c r="B7" s="12" t="s">
        <v>3</v>
      </c>
      <c r="C7" s="1">
        <v>288000</v>
      </c>
      <c r="D7" s="25">
        <v>5242</v>
      </c>
      <c r="E7" s="22">
        <f t="shared" si="0"/>
        <v>0.28843402663145151</v>
      </c>
      <c r="F7" s="33">
        <v>4751</v>
      </c>
      <c r="G7" s="23">
        <f t="shared" si="1"/>
        <v>0.29035018028478887</v>
      </c>
    </row>
    <row r="8" spans="1:10" x14ac:dyDescent="0.25">
      <c r="A8" s="12">
        <v>504</v>
      </c>
      <c r="B8" s="12" t="s">
        <v>4</v>
      </c>
      <c r="C8" s="1">
        <v>117000</v>
      </c>
      <c r="D8" s="25">
        <v>1338</v>
      </c>
      <c r="E8" s="22">
        <f t="shared" si="0"/>
        <v>7.3621657312644431E-2</v>
      </c>
      <c r="F8" s="33">
        <v>1208</v>
      </c>
      <c r="G8" s="23">
        <f t="shared" si="1"/>
        <v>7.382509319806882E-2</v>
      </c>
    </row>
    <row r="9" spans="1:10" x14ac:dyDescent="0.25">
      <c r="A9" s="12">
        <v>505</v>
      </c>
      <c r="B9" s="12" t="s">
        <v>5</v>
      </c>
      <c r="C9" s="1">
        <v>252000</v>
      </c>
      <c r="D9" s="25">
        <v>3865</v>
      </c>
      <c r="E9" s="22">
        <f t="shared" si="0"/>
        <v>0.21266644657202596</v>
      </c>
      <c r="F9" s="33">
        <v>2826</v>
      </c>
      <c r="G9" s="23">
        <f t="shared" si="1"/>
        <v>0.17270671637230336</v>
      </c>
    </row>
    <row r="10" spans="1:10" x14ac:dyDescent="0.25">
      <c r="A10" s="12">
        <v>506</v>
      </c>
      <c r="B10" s="12" t="s">
        <v>14</v>
      </c>
      <c r="C10" s="1">
        <v>45000</v>
      </c>
      <c r="D10" s="25">
        <v>666</v>
      </c>
      <c r="E10" s="22">
        <f t="shared" si="0"/>
        <v>3.6645757675800597E-2</v>
      </c>
      <c r="F10" s="33">
        <v>632</v>
      </c>
      <c r="G10" s="23">
        <f t="shared" si="1"/>
        <v>3.8623724255943286E-2</v>
      </c>
    </row>
    <row r="11" spans="1:10" x14ac:dyDescent="0.25">
      <c r="A11" s="12">
        <v>507</v>
      </c>
      <c r="B11" s="12" t="s">
        <v>6</v>
      </c>
      <c r="C11" s="1">
        <v>180000</v>
      </c>
      <c r="D11" s="25">
        <v>2138</v>
      </c>
      <c r="E11" s="22">
        <f t="shared" si="0"/>
        <v>0.11764058545174425</v>
      </c>
      <c r="F11" s="33">
        <v>2200</v>
      </c>
      <c r="G11" s="23">
        <f t="shared" si="1"/>
        <v>0.13444967304284056</v>
      </c>
    </row>
    <row r="12" spans="1:10" x14ac:dyDescent="0.25">
      <c r="A12" s="12">
        <v>509</v>
      </c>
      <c r="B12" s="12" t="s">
        <v>7</v>
      </c>
      <c r="C12" s="1">
        <v>45000</v>
      </c>
      <c r="D12" s="25">
        <v>614</v>
      </c>
      <c r="E12" s="22">
        <f t="shared" si="0"/>
        <v>3.3784527346759109E-2</v>
      </c>
      <c r="F12" s="33">
        <v>452</v>
      </c>
      <c r="G12" s="23">
        <f t="shared" si="1"/>
        <v>2.762329646152906E-2</v>
      </c>
    </row>
    <row r="13" spans="1:10" x14ac:dyDescent="0.25">
      <c r="A13" s="12">
        <v>511</v>
      </c>
      <c r="B13" s="12" t="s">
        <v>8</v>
      </c>
      <c r="C13" s="1">
        <v>45000</v>
      </c>
      <c r="D13" s="25">
        <v>498</v>
      </c>
      <c r="E13" s="22">
        <f t="shared" si="0"/>
        <v>2.7401782766589635E-2</v>
      </c>
      <c r="F13" s="33">
        <v>511</v>
      </c>
      <c r="G13" s="23">
        <f t="shared" si="1"/>
        <v>3.1228992238587057E-2</v>
      </c>
    </row>
    <row r="14" spans="1:10" x14ac:dyDescent="0.25">
      <c r="A14" s="12">
        <v>513</v>
      </c>
      <c r="B14" s="12" t="s">
        <v>11</v>
      </c>
      <c r="C14" s="1">
        <v>22500</v>
      </c>
      <c r="D14" s="25">
        <v>231</v>
      </c>
      <c r="E14" s="22">
        <f t="shared" si="0"/>
        <v>1.2710465500165071E-2</v>
      </c>
      <c r="F14" s="33">
        <v>201</v>
      </c>
      <c r="G14" s="23">
        <f t="shared" si="1"/>
        <v>1.2283811037095888E-2</v>
      </c>
    </row>
    <row r="15" spans="1:10" x14ac:dyDescent="0.25">
      <c r="A15" s="12">
        <v>516</v>
      </c>
      <c r="B15" s="12" t="s">
        <v>12</v>
      </c>
      <c r="C15" s="1">
        <v>22500</v>
      </c>
      <c r="D15" s="25">
        <v>208</v>
      </c>
      <c r="E15" s="22">
        <f t="shared" si="0"/>
        <v>1.1444921316165951E-2</v>
      </c>
      <c r="F15" s="33">
        <v>223</v>
      </c>
      <c r="G15" s="23">
        <f t="shared" si="1"/>
        <v>1.3628307767524293E-2</v>
      </c>
    </row>
    <row r="16" spans="1:10" x14ac:dyDescent="0.25">
      <c r="A16" s="6" t="s">
        <v>1</v>
      </c>
      <c r="B16" s="6"/>
      <c r="C16" s="7">
        <f>SUM(C4:C15)</f>
        <v>1269000</v>
      </c>
      <c r="D16" s="26">
        <f>SUM(D4:D15)</f>
        <v>18174</v>
      </c>
      <c r="E16" s="9">
        <f t="shared" ref="E16:G16" si="2">SUM(E4:E15)</f>
        <v>1</v>
      </c>
      <c r="F16" s="8">
        <f t="shared" si="2"/>
        <v>16363</v>
      </c>
      <c r="G16" s="9">
        <f t="shared" si="2"/>
        <v>1</v>
      </c>
    </row>
  </sheetData>
  <mergeCells count="4">
    <mergeCell ref="D2:E2"/>
    <mergeCell ref="A1:J1"/>
    <mergeCell ref="A2:B3"/>
    <mergeCell ref="F2:G2"/>
  </mergeCells>
  <pageMargins left="0.7" right="0.7" top="0.75" bottom="0.75" header="0.3" footer="0.3"/>
  <pageSetup orientation="landscape" r:id="rId1"/>
  <headerFooter>
    <oddHeader xml:space="preserve">&amp;CNC HMIS Cost Sharing Options </oddHeader>
    <oddFooter>&amp;RCHIN Governance Committee 11.10.14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2015 &amp; 2016 Fees</vt:lpstr>
      <vt:lpstr>BoS &amp; Meck pay Bowman </vt:lpstr>
      <vt:lpstr>2015 &amp; 2016 Revised Fees</vt:lpstr>
      <vt:lpstr>2015 Jan-Jul Fees (2)</vt:lpstr>
      <vt:lpstr>July 2015 - July 2016 Fees</vt:lpstr>
      <vt:lpstr>cost comparison </vt:lpstr>
      <vt:lpstr>Cost Allocation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Neunaber</dc:creator>
  <cp:lastModifiedBy>Denise Neunaber</cp:lastModifiedBy>
  <cp:lastPrinted>2014-11-09T20:57:55Z</cp:lastPrinted>
  <dcterms:created xsi:type="dcterms:W3CDTF">2014-11-06T21:30:15Z</dcterms:created>
  <dcterms:modified xsi:type="dcterms:W3CDTF">2015-04-13T03:35:21Z</dcterms:modified>
</cp:coreProperties>
</file>